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1"/>
  </bookViews>
  <sheets>
    <sheet name="整改过期+复核过期门店" sheetId="1" r:id="rId1"/>
    <sheet name="门店处罚金额汇总" sheetId="3" r:id="rId2"/>
    <sheet name="整改过期门店" sheetId="2" r:id="rId3"/>
  </sheets>
  <externalReferences>
    <externalReference r:id="rId4"/>
  </externalReferences>
  <definedNames>
    <definedName name="_xlnm._FilterDatabase" localSheetId="0" hidden="1">'整改过期+复核过期门店'!$C$1:$T$460</definedName>
    <definedName name="_xlnm._FilterDatabase" localSheetId="1" hidden="1">门店处罚金额汇总!$A$1:$D$46</definedName>
  </definedNames>
  <calcPr calcId="144525"/>
</workbook>
</file>

<file path=xl/sharedStrings.xml><?xml version="1.0" encoding="utf-8"?>
<sst xmlns="http://schemas.openxmlformats.org/spreadsheetml/2006/main" count="13437" uniqueCount="1840">
  <si>
    <t>门店</t>
  </si>
  <si>
    <t>门店名称</t>
  </si>
  <si>
    <t>点检项分类</t>
  </si>
  <si>
    <t>点检项</t>
  </si>
  <si>
    <t>是否过期</t>
  </si>
  <si>
    <t>流程状态</t>
  </si>
  <si>
    <t>提交时间</t>
  </si>
  <si>
    <t>创建时间</t>
  </si>
  <si>
    <t>到期时间</t>
  </si>
  <si>
    <t>整改时间</t>
  </si>
  <si>
    <t>复检时间</t>
  </si>
  <si>
    <t>整改人</t>
  </si>
  <si>
    <t>过期原因</t>
  </si>
  <si>
    <t>当前处理人</t>
  </si>
  <si>
    <t>创建人</t>
  </si>
  <si>
    <t>问题图片</t>
  </si>
  <si>
    <t>整改图片</t>
  </si>
  <si>
    <t>问题来源</t>
  </si>
  <si>
    <t>评论</t>
  </si>
  <si>
    <t>是否自动通过申诉审批</t>
  </si>
  <si>
    <t>怀远二店</t>
  </si>
  <si>
    <t>片区主管点检任务（2022年新）</t>
  </si>
  <si>
    <t>1.货架从上到下第2层至第5层陈列“妆字号”对应类别品种；第6层至第7层陈列“医疗器械”类别品种。</t>
  </si>
  <si>
    <t>已过期</t>
  </si>
  <si>
    <t>已完成</t>
  </si>
  <si>
    <t>2022-06-26 08:32:56</t>
  </si>
  <si>
    <t>2022-06-26</t>
  </si>
  <si>
    <t>2022-06-29</t>
  </si>
  <si>
    <t xml:space="preserve">2022-07-08 15:32:13
</t>
  </si>
  <si>
    <t xml:space="preserve">2022-07-09 22:51:52
</t>
  </si>
  <si>
    <t>费诗尧</t>
  </si>
  <si>
    <t>整改过期</t>
  </si>
  <si>
    <t>--</t>
  </si>
  <si>
    <t>胡建梅</t>
  </si>
  <si>
    <t>暂无图片</t>
  </si>
  <si>
    <t>点检</t>
  </si>
  <si>
    <t xml:space="preserve"> 胡建梅  发现问题  2022-06-26 08:32:56
费诗尧  整改  2022-07-08 15:32:13
 整改
胡建梅  复检通过  2022-07-09 22:51:52
 通过
</t>
  </si>
  <si>
    <t>否</t>
  </si>
  <si>
    <t>崇州尚贤坊街药店</t>
  </si>
  <si>
    <t>2022-06-26 08:32:35</t>
  </si>
  <si>
    <t xml:space="preserve">2022-07-09 17:23:38
</t>
  </si>
  <si>
    <t xml:space="preserve">2022-07-09 22:51:37
</t>
  </si>
  <si>
    <t>涂思佩</t>
  </si>
  <si>
    <t xml:space="preserve"> 胡建梅  发现问题  2022-06-26 08:32:35
涂思佩  整改  2022-07-09 17:23:38
 已整改
胡建梅  复检通过  2022-07-09 22:51:37
 通过
</t>
  </si>
  <si>
    <t>2022-06-18 06:48:45</t>
  </si>
  <si>
    <t>2022-06-18</t>
  </si>
  <si>
    <t>2022-06-21</t>
  </si>
  <si>
    <t xml:space="preserve">2022-07-09 17:23:44
</t>
  </si>
  <si>
    <t xml:space="preserve">2022-07-09 22:51:29
</t>
  </si>
  <si>
    <t xml:space="preserve"> 胡建梅  发现问题  2022-06-18 06:48:45
涂思佩  整改  2022-07-09 17:23:44
 已整改
胡建梅  复检通过  2022-07-09 22:51:29
 通过
</t>
  </si>
  <si>
    <t>宣传氛围及陈列（营业部）</t>
  </si>
  <si>
    <t>会员超低特价商品：配有特价插卡</t>
  </si>
  <si>
    <t>2022-06-24 15:38:23</t>
  </si>
  <si>
    <t>2022-06-24</t>
  </si>
  <si>
    <t>2022-06-27</t>
  </si>
  <si>
    <t xml:space="preserve">2022-06-25 10:51:43
</t>
  </si>
  <si>
    <t xml:space="preserve">2022-07-08 14:11:41
</t>
  </si>
  <si>
    <t>吕显杨</t>
  </si>
  <si>
    <t>复核过期</t>
  </si>
  <si>
    <t>林禹帅</t>
  </si>
  <si>
    <t>现场巡店</t>
  </si>
  <si>
    <t xml:space="preserve"> 林禹帅  发现问题  2022-06-24 15:38:24
吕显杨  整改  2022-06-25 10:51:43
 已整改
林禹帅  复检通过  2022-07-08 14:11:41
</t>
  </si>
  <si>
    <t>未经公司允许（没有门店执行单），门店乱张贴厂家宣传物料的或摆放陈列架的</t>
  </si>
  <si>
    <t xml:space="preserve">2022-06-25 10:52:27
</t>
  </si>
  <si>
    <t xml:space="preserve">2022-07-08 14:11:38
</t>
  </si>
  <si>
    <t xml:space="preserve"> 林禹帅  发现问题  2022-06-24 15:38:25
吕显杨  整改  2022-06-25 10:52:27
 已整改
林禹帅  复检通过  2022-07-08 14:11:38
</t>
  </si>
  <si>
    <t>吊旗、爆炸花、POP、海报、插卡等宣传物料齐全无缺失，无破损、开胶、卷边、褪色，无过期内容</t>
  </si>
  <si>
    <t xml:space="preserve">2022-06-25 17:12:17
</t>
  </si>
  <si>
    <t xml:space="preserve">2022-07-08 14:11:34
</t>
  </si>
  <si>
    <t xml:space="preserve"> 林禹帅  发现问题  2022-06-24 15:38:25
吕显杨  整改  2022-06-25 17:12:17
 已取
林禹帅  复检通过  2022-07-08 14:11:34
</t>
  </si>
  <si>
    <t>环境卫生（通用）</t>
  </si>
  <si>
    <t>店招无黑色污渍、张贴残留物，角落无蜘蛛网</t>
  </si>
  <si>
    <t xml:space="preserve">2022-06-25 11:15:10
</t>
  </si>
  <si>
    <t xml:space="preserve">2022-07-08 14:11:25
</t>
  </si>
  <si>
    <t xml:space="preserve"> 林禹帅  发现问题  2022-06-24 15:38:25
吕显杨  整改  2022-06-25 11:15:10
 已整改
林禹帅  复检通过  2022-07-08 14:11:25
</t>
  </si>
  <si>
    <t>店门地面、走廊无明显垃圾、杂物堆放，外墙无明显污渍</t>
  </si>
  <si>
    <t xml:space="preserve">2022-06-25 11:16:29
</t>
  </si>
  <si>
    <t xml:space="preserve">2022-07-08 14:11:22
</t>
  </si>
  <si>
    <t xml:space="preserve"> 林禹帅  发现问题  2022-06-24 15:38:25
吕显杨  整改  2022-06-25 11:16:29
林禹帅  复检通过  2022-07-08 14:11:22
</t>
  </si>
  <si>
    <t>店门、橱窗明净通透，无明显污渍、张贴残留物</t>
  </si>
  <si>
    <t xml:space="preserve">2022-06-25 11:17:11
</t>
  </si>
  <si>
    <t xml:space="preserve">2022-07-08 14:11:15
</t>
  </si>
  <si>
    <t xml:space="preserve"> 林禹帅  发现问题  2022-06-24 15:38:25
吕显杨  整改  2022-06-25 11:17:11
 已整改
林禹帅  复检通过  2022-07-08 14:11:15
</t>
  </si>
  <si>
    <t>文件重要记录（营业部）</t>
  </si>
  <si>
    <t>门店是否按时、按要求进行交接班，并有记录，员工签字确认</t>
  </si>
  <si>
    <t xml:space="preserve">2022-06-25 13:20:16
</t>
  </si>
  <si>
    <t xml:space="preserve">2022-07-08 14:11:10
</t>
  </si>
  <si>
    <t xml:space="preserve"> 林禹帅  发现问题  2022-06-24 15:38:25
吕显杨  整改  2022-06-25 13:20:16
 已整改
林禹帅  复检通过  2022-07-08 14:11:10
</t>
  </si>
  <si>
    <t>顾客意见簿正常使用</t>
  </si>
  <si>
    <t xml:space="preserve">2022-06-25 17:11:25
</t>
  </si>
  <si>
    <t xml:space="preserve">2022-07-08 14:11:07
</t>
  </si>
  <si>
    <t xml:space="preserve"> 林禹帅  发现问题  2022-06-24 15:38:25
吕显杨  整改  2022-06-25 17:11:25
林禹帅  复检通过  2022-07-08 14:11:07
</t>
  </si>
  <si>
    <t>风险防控（通用）</t>
  </si>
  <si>
    <t>贵重商品交接记录</t>
  </si>
  <si>
    <t xml:space="preserve">2022-06-25 13:23:58
</t>
  </si>
  <si>
    <t xml:space="preserve">2022-07-08 14:11:04
</t>
  </si>
  <si>
    <t xml:space="preserve"> 林禹帅  发现问题  2022-06-24 15:38:25
吕显杨  整改  2022-06-25 13:23:58
 已整改
林禹帅  复检通过  2022-07-08 14:11:04
</t>
  </si>
  <si>
    <t>陈列与储存（质管部专用）</t>
  </si>
  <si>
    <t>药品不得直接存放在地上</t>
  </si>
  <si>
    <t xml:space="preserve">2022-06-25 13:25:06
</t>
  </si>
  <si>
    <t xml:space="preserve">2022-07-08 14:11:02
</t>
  </si>
  <si>
    <t xml:space="preserve"> 林禹帅  发现问题  2022-06-24 15:38:25
吕显杨  整改  2022-06-25 13:25:06
 已整改
林禹帅  复检通过  2022-07-08 14:11:02
</t>
  </si>
  <si>
    <t>销售管理（质管部专用）</t>
  </si>
  <si>
    <t>当月是否有远程处方未审核及未审核数量</t>
  </si>
  <si>
    <t xml:space="preserve">2022-06-25 13:27:57
</t>
  </si>
  <si>
    <t xml:space="preserve">2022-07-08 14:10:59
</t>
  </si>
  <si>
    <t xml:space="preserve"> 林禹帅  发现问题  2022-06-24 15:38:25
吕显杨  整改  2022-06-25 13:27:57
 已整改
林禹帅  复检通过  2022-07-08 14:10:59
</t>
  </si>
  <si>
    <t>人员与培训（质管部专用）</t>
  </si>
  <si>
    <t>人员相片、执业药师证、健康证上墙公示</t>
  </si>
  <si>
    <t xml:space="preserve">2022-06-25 13:32:46
</t>
  </si>
  <si>
    <t xml:space="preserve">2022-07-08 14:10:56
</t>
  </si>
  <si>
    <t xml:space="preserve"> 林禹帅  发现问题  2022-06-24 15:38:25
吕显杨  整改  2022-06-25 13:32:46
 已整改
林禹帅  复检通过  2022-07-08 14:10:56
</t>
  </si>
  <si>
    <t>开展相关政策法规、质量管理制度、职责、操作规程的学习培训并有记录</t>
  </si>
  <si>
    <t xml:space="preserve">2022-06-25 13:30:54
</t>
  </si>
  <si>
    <t xml:space="preserve">2022-07-08 14:10:53
</t>
  </si>
  <si>
    <t xml:space="preserve"> 林禹帅  发现问题  2022-06-24 15:38:25
吕显杨  整改  2022-06-25 13:30:54
 已整改
林禹帅  复检通过  2022-07-08 14:10:53
</t>
  </si>
  <si>
    <t>慢病建档（营运部）</t>
  </si>
  <si>
    <t>慢病建档任务目标</t>
  </si>
  <si>
    <t xml:space="preserve">2022-06-25 17:14:07
</t>
  </si>
  <si>
    <t xml:space="preserve">2022-07-08 14:10:46
</t>
  </si>
  <si>
    <t xml:space="preserve"> 林禹帅  发现问题  2022-06-24 15:38:25
吕显杨  整改  2022-06-25 17:14:07
林禹帅  复检通过  2022-07-08 14:10:46
</t>
  </si>
  <si>
    <t>崇州中心店</t>
  </si>
  <si>
    <t>2022-06-26 08:32:50</t>
  </si>
  <si>
    <t xml:space="preserve">2022-07-08 12:46:15
</t>
  </si>
  <si>
    <t xml:space="preserve">2022-07-08 13:58:47
</t>
  </si>
  <si>
    <t>李婷</t>
  </si>
  <si>
    <t xml:space="preserve"> 胡建梅  发现问题  2022-06-26 08:32:50
李婷  整改  2022-07-08 12:46:15
胡建梅  复检通过  2022-07-08 13:58:47
 通过
</t>
  </si>
  <si>
    <t>高新区民丰大道西段药店</t>
  </si>
  <si>
    <t>其他</t>
  </si>
  <si>
    <t>2022-06-25 17:15:51</t>
  </si>
  <si>
    <t>2022-06-25</t>
  </si>
  <si>
    <t>2022-06-28</t>
  </si>
  <si>
    <t xml:space="preserve">2022-06-29 14:39:07
</t>
  </si>
  <si>
    <t xml:space="preserve">2022-07-08 11:22:19
</t>
  </si>
  <si>
    <t>于春莲</t>
  </si>
  <si>
    <t>手动创建问题</t>
  </si>
  <si>
    <t xml:space="preserve"> 于春莲  发现问题  2022-06-25 17:15:51
于春莲  整改  2022-06-29 14:39:07
 暂无陈列物料
于春莲  复检通过  2022-07-08 11:22:19
</t>
  </si>
  <si>
    <t>都江堰问道西路药店</t>
  </si>
  <si>
    <t>片区点检任务（第二批）</t>
  </si>
  <si>
    <t>周三.（1）营采6号京润面膜陈列</t>
  </si>
  <si>
    <t>2022-06-29 16:01:36</t>
  </si>
  <si>
    <t>2022-07-02</t>
  </si>
  <si>
    <t xml:space="preserve">2022-07-05 12:56:52
</t>
  </si>
  <si>
    <t xml:space="preserve">2022-07-07 15:28:01
</t>
  </si>
  <si>
    <t>孙佳丽</t>
  </si>
  <si>
    <t>苗凯</t>
  </si>
  <si>
    <t xml:space="preserve"> 苗凯  发现问题  2022-06-29 16:01:36
孙佳丽  整改  2022-07-05 12:56:52
 已整改
苗凯  复检通过  2022-07-07 15:28:01
</t>
  </si>
  <si>
    <t>周二.（2）店外氛围：收纳篮陈列应季品种，丰满无空缺，配活动爆炸卡。</t>
  </si>
  <si>
    <t>2022-06-29 16:01:34</t>
  </si>
  <si>
    <t xml:space="preserve">2022-07-05 12:56:56
</t>
  </si>
  <si>
    <t xml:space="preserve">2022-07-07 15:27:58
</t>
  </si>
  <si>
    <t xml:space="preserve"> 苗凯  发现问题  2022-06-29 16:01:34
孙佳丽  整改  2022-07-05 12:56:56
 已整改
苗凯  复检通过  2022-07-07 15:27:58
</t>
  </si>
  <si>
    <t>周二.（1）橱窗pop陈列，有无无破损、变色、无执行单宣传的张贴。</t>
  </si>
  <si>
    <t xml:space="preserve">2022-07-05 12:56:59
</t>
  </si>
  <si>
    <t xml:space="preserve">2022-07-07 15:27:55
</t>
  </si>
  <si>
    <t xml:space="preserve"> 苗凯  发现问题  2022-06-29 16:01:34
孙佳丽  整改  2022-07-05 12:56:59
 已整改
苗凯  复检通过  2022-07-07 15:27:55
</t>
  </si>
  <si>
    <t>周三（3）漱口水陈列</t>
  </si>
  <si>
    <t>2022-06-29 16:00:12</t>
  </si>
  <si>
    <t xml:space="preserve">2022-07-05 12:57:03
</t>
  </si>
  <si>
    <t xml:space="preserve">2022-07-07 15:27:52
</t>
  </si>
  <si>
    <t xml:space="preserve"> 苗凯  发现问题  2022-06-29 16:00:13
孙佳丽  整改  2022-07-05 12:57:03
 已整改
苗凯  复检通过  2022-07-07 15:27:52
</t>
  </si>
  <si>
    <t>周三.（2）9号马油套装陈列</t>
  </si>
  <si>
    <t xml:space="preserve">2022-07-05 12:57:06
</t>
  </si>
  <si>
    <t xml:space="preserve">2022-07-07 15:27:48
</t>
  </si>
  <si>
    <t xml:space="preserve"> 苗凯  发现问题  2022-06-29 16:00:12
孙佳丽  整改  2022-07-05 12:57:06
 已整改
苗凯  复检通过  2022-07-07 15:27:48
</t>
  </si>
  <si>
    <t xml:space="preserve">2022-07-05 12:57:10
</t>
  </si>
  <si>
    <t xml:space="preserve">2022-07-07 15:27:45
</t>
  </si>
  <si>
    <t xml:space="preserve"> 苗凯  发现问题  2022-06-29 16:00:12
孙佳丽  整改  2022-07-05 12:57:10
 已整改
苗凯  复检通过  2022-07-07 15:27:45
</t>
  </si>
  <si>
    <t>周一.进门桌面应季商品陈列（藿香口服液、藿香胶囊，夏桑菊，板蓝根，玄麦冲剂，百多邦喷剂），团购pop张贴，团购检测试剂pop。</t>
  </si>
  <si>
    <t>2022-06-27 16:27:56</t>
  </si>
  <si>
    <t>2022-06-30</t>
  </si>
  <si>
    <t xml:space="preserve">2022-07-05 12:57:13
</t>
  </si>
  <si>
    <t xml:space="preserve">2022-07-07 15:26:56
</t>
  </si>
  <si>
    <t xml:space="preserve"> 苗凯  发现问题  2022-06-27 16:27:56
孙佳丽  整改  2022-07-05 12:57:13
 已整改
苗凯  复检通过  2022-07-07 15:26:56
</t>
  </si>
  <si>
    <t>周五：（3）睡眠管理专区陈列宣传品种陈列。</t>
  </si>
  <si>
    <t>2022-06-25 17:08:12</t>
  </si>
  <si>
    <t xml:space="preserve">2022-07-05 12:57:19
</t>
  </si>
  <si>
    <t xml:space="preserve">2022-07-07 15:26:53
</t>
  </si>
  <si>
    <t xml:space="preserve"> 苗凯  发现问题  2022-06-25 17:08:12
孙佳丽  整改  2022-07-05 12:57:19
 已整改
苗凯  复检通过  2022-07-07 15:26:53
</t>
  </si>
  <si>
    <t>周五：（2）体重管理专区陈列宣传品种陈列。</t>
  </si>
  <si>
    <t xml:space="preserve">2022-07-05 12:57:22
</t>
  </si>
  <si>
    <t xml:space="preserve">2022-07-07 15:26:50
</t>
  </si>
  <si>
    <t xml:space="preserve"> 苗凯  发现问题  2022-06-25 17:08:12
孙佳丽  整改  2022-07-05 12:57:22
 已整改
苗凯  复检通过  2022-07-07 15:26:50
</t>
  </si>
  <si>
    <t>周五：（1）进门端架灯片首层陈列是否一致，陈列品种无空缺。</t>
  </si>
  <si>
    <t xml:space="preserve">2022-07-05 12:57:32
</t>
  </si>
  <si>
    <t xml:space="preserve">2022-07-07 15:26:44
</t>
  </si>
  <si>
    <t xml:space="preserve"> 苗凯  发现问题  2022-06-25 17:08:12
孙佳丽  整改  2022-07-05 12:57:32
 已整改
苗凯  复检通过  2022-07-07 15:26:44
</t>
  </si>
  <si>
    <t>2022-06-25 17:06:48</t>
  </si>
  <si>
    <t xml:space="preserve">2022-07-05 12:57:36
</t>
  </si>
  <si>
    <t xml:space="preserve">2022-07-07 15:26:41
</t>
  </si>
  <si>
    <t xml:space="preserve"> 苗凯  发现问题  2022-06-25 17:06:48
孙佳丽  整改  2022-07-05 12:57:36
 已整改
苗凯  复检通过  2022-07-07 15:26:41
</t>
  </si>
  <si>
    <t>花照壁店</t>
  </si>
  <si>
    <t>2022-06-30 09:17:21</t>
  </si>
  <si>
    <t>2022-07-03</t>
  </si>
  <si>
    <t xml:space="preserve">2022-07-06 12:49:36
</t>
  </si>
  <si>
    <t xml:space="preserve">2022-07-07 09:29:52
</t>
  </si>
  <si>
    <t>李梦菊</t>
  </si>
  <si>
    <t>刘琴英</t>
  </si>
  <si>
    <t xml:space="preserve"> 刘琴英  发现问题  2022-06-30 09:17:21
李梦菊  整改  2022-07-06 12:49:36
 已整改
刘琴英  复检通过  2022-07-07 09:29:52
</t>
  </si>
  <si>
    <t xml:space="preserve">2022-07-06 12:49:40
</t>
  </si>
  <si>
    <t xml:space="preserve">2022-07-07 09:29:46
</t>
  </si>
  <si>
    <t xml:space="preserve"> 刘琴英  发现问题  2022-06-30 09:17:21
李梦菊  整改  2022-07-06 12:49:40
 已整改
刘琴英  复检通过  2022-07-07 09:29:46
</t>
  </si>
  <si>
    <t xml:space="preserve">2022-07-06 12:49:45
</t>
  </si>
  <si>
    <t xml:space="preserve">2022-07-07 09:29:44
</t>
  </si>
  <si>
    <t xml:space="preserve"> 刘琴英  发现问题  2022-06-30 09:17:21
李梦菊  整改  2022-07-06 12:49:45
 已整改
刘琴英  复检通过  2022-07-07 09:29:44
</t>
  </si>
  <si>
    <t>2022-06-28 19:34:25</t>
  </si>
  <si>
    <t>2022-07-01</t>
  </si>
  <si>
    <t xml:space="preserve">2022-07-06 12:49:49
</t>
  </si>
  <si>
    <t xml:space="preserve">2022-07-07 09:29:41
</t>
  </si>
  <si>
    <t xml:space="preserve"> 刘琴英  发现问题  2022-06-28 19:34:25
李梦菊  整改  2022-07-06 12:49:49
 已整改
刘琴英  复检通过  2022-07-07 09:29:41
</t>
  </si>
  <si>
    <t>2022-06-28 19:33:56</t>
  </si>
  <si>
    <t xml:space="preserve">2022-07-06 12:49:53
</t>
  </si>
  <si>
    <t xml:space="preserve">2022-07-07 09:29:33
</t>
  </si>
  <si>
    <t xml:space="preserve"> 刘琴英  发现问题  2022-06-28 19:33:56
李梦菊  整改  2022-07-06 12:49:53
 已整改
刘琴英  复检通过  2022-07-07 09:29:33
</t>
  </si>
  <si>
    <t xml:space="preserve">2022-07-06 12:49:59
</t>
  </si>
  <si>
    <t xml:space="preserve">2022-07-07 09:29:27
</t>
  </si>
  <si>
    <t xml:space="preserve"> 刘琴英  发现问题  2022-06-28 19:33:56
李梦菊  整改  2022-07-06 12:49:59
 已整改
刘琴英  复检通过  2022-07-07 09:29:27
</t>
  </si>
  <si>
    <t>光华村街药店</t>
  </si>
  <si>
    <t>2022-06-28 19:34:04</t>
  </si>
  <si>
    <t xml:space="preserve">2022-07-06 14:04:15
</t>
  </si>
  <si>
    <t xml:space="preserve">2022-07-07 09:29:19
</t>
  </si>
  <si>
    <t>朱晓桃</t>
  </si>
  <si>
    <t xml:space="preserve"> 刘琴英  发现问题  2022-06-28 19:34:04
朱晓桃  整改  2022-07-06 14:04:15
 改
刘琴英  复检通过  2022-07-07 09:29:19
</t>
  </si>
  <si>
    <t xml:space="preserve">2022-07-06 14:04:34
</t>
  </si>
  <si>
    <t xml:space="preserve">2022-07-07 09:29:16
</t>
  </si>
  <si>
    <t xml:space="preserve"> 刘琴英  发现问题  2022-06-28 19:34:04
朱晓桃  整改  2022-07-06 14:04:34
 改
刘琴英  复检通过  2022-07-07 09:29:16
</t>
  </si>
  <si>
    <t>2022-06-28 19:34:30</t>
  </si>
  <si>
    <t xml:space="preserve">2022-07-06 14:04:49
</t>
  </si>
  <si>
    <t xml:space="preserve">2022-07-07 09:29:13
</t>
  </si>
  <si>
    <t xml:space="preserve"> 刘琴英  发现问题  2022-06-28 19:34:30
朱晓桃  整改  2022-07-06 14:04:49
 改
刘琴英  复检通过  2022-07-07 09:29:13
</t>
  </si>
  <si>
    <t>2022-06-30 09:17:27</t>
  </si>
  <si>
    <t xml:space="preserve">2022-07-06 14:05:05
</t>
  </si>
  <si>
    <t xml:space="preserve">2022-07-07 09:27:23
</t>
  </si>
  <si>
    <t xml:space="preserve"> 刘琴英  发现问题  2022-06-30 09:17:27
朱晓桃  整改  2022-07-06 14:05:05
 改
刘琴英  复检通过  2022-07-07 09:27:23
</t>
  </si>
  <si>
    <t xml:space="preserve">2022-07-06 14:05:40
</t>
  </si>
  <si>
    <t xml:space="preserve">2022-07-07 09:27:21
</t>
  </si>
  <si>
    <t xml:space="preserve"> 刘琴英  发现问题  2022-06-30 09:17:27
朱晓桃  整改  2022-07-06 14:05:40
 改
刘琴英  复检通过  2022-07-07 09:27:21
</t>
  </si>
  <si>
    <t xml:space="preserve">2022-07-06 14:05:55
</t>
  </si>
  <si>
    <t xml:space="preserve">2022-07-07 09:27:18
</t>
  </si>
  <si>
    <t xml:space="preserve"> 刘琴英  发现问题  2022-06-30 09:17:27
朱晓桃  整改  2022-07-06 14:05:55
 改
刘琴英  复检通过  2022-07-07 09:27:18
</t>
  </si>
  <si>
    <t>2022-06-22 10:12:13</t>
  </si>
  <si>
    <t>2022-06-22</t>
  </si>
  <si>
    <t xml:space="preserve">2022-07-06 14:51:53
/
2022-06-24 17:31:14
</t>
  </si>
  <si>
    <t xml:space="preserve">2022-07-07 09:27:16
/
2022-06-24 21:14:31
</t>
  </si>
  <si>
    <t>万雪倩</t>
  </si>
  <si>
    <t xml:space="preserve"> 刘琴英  发现问题  2022-06-22 10:12:13
万雪倩  整改  2022-06-24 17:31:14
刘琴英  复检不通过  2022-06-24 21:14:31
万雪倩  整改  2022-07-06 14:51:53
刘琴英  复检通过  2022-07-07 09:27:16
</t>
  </si>
  <si>
    <t>2022-06-30 09:16:53</t>
  </si>
  <si>
    <t xml:space="preserve">2022-07-06 20:35:00
</t>
  </si>
  <si>
    <t xml:space="preserve">2022-07-07 09:27:13
</t>
  </si>
  <si>
    <t>杨红</t>
  </si>
  <si>
    <t xml:space="preserve"> 刘琴英  发现问题  2022-06-30 09:16:53
杨红  整改  2022-07-06 20:35:00
 已整改
刘琴英  复检通过  2022-07-07 09:27:13
</t>
  </si>
  <si>
    <t xml:space="preserve">2022-07-06 20:35:33
</t>
  </si>
  <si>
    <t xml:space="preserve">2022-07-07 09:27:11
</t>
  </si>
  <si>
    <t xml:space="preserve"> 刘琴英  发现问题  2022-06-30 09:16:53
杨红  整改  2022-07-06 20:35:33
 已整改
刘琴英  复检通过  2022-07-07 09:27:11
</t>
  </si>
  <si>
    <t xml:space="preserve">2022-07-06 20:36:00
</t>
  </si>
  <si>
    <t xml:space="preserve">2022-07-07 09:27:09
</t>
  </si>
  <si>
    <t xml:space="preserve"> 刘琴英  发现问题  2022-06-30 09:16:53
杨红  整改  2022-07-06 20:36:00
 已整改
刘琴英  复检通过  2022-07-07 09:27:09
</t>
  </si>
  <si>
    <t>周四：爱心药箱无过期商品、爱心服务牌、爱心雨伞、茶饮，干净整洁。</t>
  </si>
  <si>
    <t>2022-06-30 09:14:35</t>
  </si>
  <si>
    <t xml:space="preserve">2022-07-06 20:38:51
</t>
  </si>
  <si>
    <t xml:space="preserve">2022-07-07 09:27:06
</t>
  </si>
  <si>
    <t xml:space="preserve"> 刘琴英  发现问题  2022-06-30 09:14:35
杨红  整改  2022-07-06 20:38:51
 已整改，
刘琴英  复检通过  2022-07-07 09:27:06
</t>
  </si>
  <si>
    <t>2022-06-28 19:33:27</t>
  </si>
  <si>
    <t xml:space="preserve">2022-07-06 20:39:24
</t>
  </si>
  <si>
    <t xml:space="preserve">2022-07-07 09:27:03
</t>
  </si>
  <si>
    <t xml:space="preserve"> 刘琴英  发现问题  2022-06-28 19:33:27
杨红  整改  2022-07-06 20:39:24
 已整改
刘琴英  复检通过  2022-07-07 09:27:03
</t>
  </si>
  <si>
    <t xml:space="preserve">2022-07-06 20:39:38
</t>
  </si>
  <si>
    <t xml:space="preserve">2022-07-07 09:27:00
</t>
  </si>
  <si>
    <t xml:space="preserve"> 刘琴英  发现问题  2022-06-28 19:33:27
杨红  整改  2022-07-06 20:39:38
 已整改
刘琴英  复检通过  2022-07-07 09:27:00
</t>
  </si>
  <si>
    <t>2022-06-29 16:01:18</t>
  </si>
  <si>
    <t xml:space="preserve">2022-07-02 11:44:03
</t>
  </si>
  <si>
    <t xml:space="preserve">2022-07-04 15:46:15
</t>
  </si>
  <si>
    <t>聂丽</t>
  </si>
  <si>
    <t xml:space="preserve"> 苗凯  发现问题  2022-06-29 16:01:18
聂丽  整改  2022-07-02 11:44:03
 已整改请审批
苗凯  复检通过  2022-07-04 15:46:15
</t>
  </si>
  <si>
    <t>2022-06-29 16:01:21</t>
  </si>
  <si>
    <t xml:space="preserve">2022-07-02 11:48:26
</t>
  </si>
  <si>
    <t xml:space="preserve">2022-07-04 15:46:12
</t>
  </si>
  <si>
    <t xml:space="preserve"> 苗凯  发现问题  2022-06-29 16:01:21
聂丽  整改  2022-07-02 11:48:26
 已整改请审批
苗凯  复检通过  2022-07-04 15:46:12
</t>
  </si>
  <si>
    <t>都江堰市蒲阳路药店</t>
  </si>
  <si>
    <t>2022-06-29 16:01:47</t>
  </si>
  <si>
    <t xml:space="preserve">2022-07-03 21:31:03
</t>
  </si>
  <si>
    <t xml:space="preserve">2022-07-04 15:45:06
</t>
  </si>
  <si>
    <t>周有惠</t>
  </si>
  <si>
    <t xml:space="preserve"> 苗凯  发现问题  2022-06-29 16:01:47
周有惠  整改  2022-07-03 21:31:03
 已整改
苗凯  复检通过  2022-07-04 15:45:06
</t>
  </si>
  <si>
    <t>2022-06-29 16:01:45</t>
  </si>
  <si>
    <t xml:space="preserve">2022-07-03 21:31:25
</t>
  </si>
  <si>
    <t xml:space="preserve">2022-07-04 15:45:03
</t>
  </si>
  <si>
    <t xml:space="preserve"> 苗凯  发现问题  2022-06-29 16:01:45
周有惠  整改  2022-07-03 21:31:25
 已整改
苗凯  复检通过  2022-07-04 15:45:03
</t>
  </si>
  <si>
    <t xml:space="preserve">2022-07-03 21:31:42
</t>
  </si>
  <si>
    <t xml:space="preserve">2022-07-04 15:45:00
</t>
  </si>
  <si>
    <t xml:space="preserve"> 苗凯  发现问题  2022-06-29 16:01:45
周有惠  整改  2022-07-03 21:31:42
 已整改
苗凯  复检通过  2022-07-04 15:45:00
</t>
  </si>
  <si>
    <t>设施设备（通用）</t>
  </si>
  <si>
    <t>冷藏柜/阴凉柜24小时不断电，</t>
  </si>
  <si>
    <t>2022-06-29 16:01:02</t>
  </si>
  <si>
    <t xml:space="preserve">2022-07-03 21:32:04
</t>
  </si>
  <si>
    <t xml:space="preserve">2022-07-04 15:44:57
</t>
  </si>
  <si>
    <t xml:space="preserve"> 苗凯  发现问题  2022-06-29 16:01:02
周有惠  整改  2022-07-03 21:32:04
 已整改
苗凯  复检通过  2022-07-04 15:44:57
</t>
  </si>
  <si>
    <t>2022-06-29 16:00:18</t>
  </si>
  <si>
    <t xml:space="preserve">2022-07-03 21:32:36
</t>
  </si>
  <si>
    <t xml:space="preserve">2022-07-04 15:44:54
</t>
  </si>
  <si>
    <t xml:space="preserve"> 苗凯  发现问题  2022-06-29 16:00:18
周有惠  整改  2022-07-03 21:32:36
 已整改
苗凯  复检通过  2022-07-04 15:44:54
</t>
  </si>
  <si>
    <t xml:space="preserve">2022-07-03 21:33:04
</t>
  </si>
  <si>
    <t xml:space="preserve">2022-07-04 15:44:51
</t>
  </si>
  <si>
    <t xml:space="preserve"> 苗凯  发现问题  2022-06-29 16:00:18
周有惠  整改  2022-07-03 21:33:04
 已整改
苗凯  复检通过  2022-07-04 15:44:51
</t>
  </si>
  <si>
    <t xml:space="preserve">2022-07-03 21:33:19
</t>
  </si>
  <si>
    <t xml:space="preserve">2022-07-04 15:44:48
</t>
  </si>
  <si>
    <t xml:space="preserve"> 苗凯  发现问题  2022-06-29 16:00:18
周有惠  整改  2022-07-03 21:33:19
 已整改
苗凯  复检通过  2022-07-04 15:44:48
</t>
  </si>
  <si>
    <t>2022-06-29 15:59:44</t>
  </si>
  <si>
    <t xml:space="preserve">2022-07-03 21:33:38
</t>
  </si>
  <si>
    <t xml:space="preserve">2022-07-04 15:44:44
</t>
  </si>
  <si>
    <t xml:space="preserve"> 苗凯  发现问题  2022-06-29 15:59:44
周有惠  整改  2022-07-03 21:33:38
 已整改
苗凯  复检通过  2022-07-04 15:44:44
</t>
  </si>
  <si>
    <t>金带街药店</t>
  </si>
  <si>
    <t>2022-06-26 08:33:03</t>
  </si>
  <si>
    <t xml:space="preserve">2022-07-04 10:10:01
</t>
  </si>
  <si>
    <t xml:space="preserve">2022-07-04 15:16:37
</t>
  </si>
  <si>
    <t>陈凤珍</t>
  </si>
  <si>
    <t xml:space="preserve"> 胡建梅  发现问题  2022-06-26 08:33:04
陈凤珍  整改  2022-07-04 10:10:01
 是
胡建梅  复检通过  2022-07-04 15:16:37
 通过
</t>
  </si>
  <si>
    <t>崇州怀远店</t>
  </si>
  <si>
    <t>2022-06-26 08:32:21</t>
  </si>
  <si>
    <t xml:space="preserve">2022-07-04 14:52:35
</t>
  </si>
  <si>
    <t xml:space="preserve">2022-07-04 15:16:23
</t>
  </si>
  <si>
    <t>窦潘</t>
  </si>
  <si>
    <t xml:space="preserve"> 胡建梅  发现问题  2022-06-26 08:32:21
窦潘  整改  2022-07-04 14:52:35
胡建梅  复检通过  2022-07-04 15:16:23
 通过
</t>
  </si>
  <si>
    <t>青羊区贝森北路店</t>
  </si>
  <si>
    <t>2022-06-28 19:33:31</t>
  </si>
  <si>
    <t xml:space="preserve">2022-07-03 15:35:39
</t>
  </si>
  <si>
    <t xml:space="preserve">2022-07-04 09:48:07
</t>
  </si>
  <si>
    <t>张雪</t>
  </si>
  <si>
    <t xml:space="preserve"> 刘琴英  发现问题  2022-06-28 19:33:31
张雪  整改  2022-07-03 15:35:39
 已整改
刘琴英  复检通过  2022-07-04 09:48:07
</t>
  </si>
  <si>
    <t xml:space="preserve">2022-07-03 15:36:36
</t>
  </si>
  <si>
    <t xml:space="preserve">2022-07-04 09:48:04
</t>
  </si>
  <si>
    <t xml:space="preserve"> 刘琴英  发现问题  2022-06-28 19:33:31
张雪  整改  2022-07-03 15:36:36
 已整改
刘琴英  复检通过  2022-07-04 09:48:04
</t>
  </si>
  <si>
    <t>2022-06-25 21:51:07</t>
  </si>
  <si>
    <t xml:space="preserve">2022-07-03 15:38:32
</t>
  </si>
  <si>
    <t xml:space="preserve">2022-07-04 09:48:01
</t>
  </si>
  <si>
    <t xml:space="preserve"> 刘琴英  发现问题  2022-06-25 21:51:07
张雪  整改  2022-07-03 15:38:32
 已整改
刘琴英  复检通过  2022-07-04 09:48:01
</t>
  </si>
  <si>
    <t>2022-06-22 10:13:12</t>
  </si>
  <si>
    <t xml:space="preserve">2022-07-03 15:40:36
</t>
  </si>
  <si>
    <t xml:space="preserve">2022-07-04 09:47:58
</t>
  </si>
  <si>
    <t xml:space="preserve"> 刘琴英  发现问题  2022-06-22 10:13:12
张雪  整改  2022-07-03 15:40:36
 已整改
刘琴英  复检通过  2022-07-04 09:47:58
</t>
  </si>
  <si>
    <t xml:space="preserve">2022-07-03 15:40:55
</t>
  </si>
  <si>
    <t xml:space="preserve">2022-07-04 09:47:55
</t>
  </si>
  <si>
    <t xml:space="preserve"> 刘琴英  发现问题  2022-06-22 10:13:12
张雪  整改  2022-07-03 15:40:55
 已整改
刘琴英  复检通过  2022-07-04 09:47:55
</t>
  </si>
  <si>
    <t>2022-06-22 10:12:02</t>
  </si>
  <si>
    <t xml:space="preserve">2022-07-03 15:41:18
</t>
  </si>
  <si>
    <t xml:space="preserve">2022-07-04 09:47:49
</t>
  </si>
  <si>
    <t xml:space="preserve"> 刘琴英  发现问题  2022-06-22 10:12:02
张雪  整改  2022-07-03 15:41:18
 已陈列
刘琴英  复检通过  2022-07-04 09:47:49
</t>
  </si>
  <si>
    <t xml:space="preserve">2022-07-03 15:41:38
</t>
  </si>
  <si>
    <t xml:space="preserve">2022-07-04 09:47:47
</t>
  </si>
  <si>
    <t xml:space="preserve"> 刘琴英  发现问题  2022-06-22 10:12:02
张雪  整改  2022-07-03 15:41:38
 已陈列
刘琴英  复检通过  2022-07-04 09:47:47
</t>
  </si>
  <si>
    <t xml:space="preserve">2022-07-03 15:41:58
</t>
  </si>
  <si>
    <t xml:space="preserve">2022-07-04 09:47:43
</t>
  </si>
  <si>
    <t xml:space="preserve"> 刘琴英  发现问题  2022-06-22 10:12:02
张雪  整改  2022-07-03 15:41:58
 已陈列
刘琴英  复检通过  2022-07-04 09:47:43
</t>
  </si>
  <si>
    <t>武侯区大悦路店</t>
  </si>
  <si>
    <t>2022-06-28 19:33:14</t>
  </si>
  <si>
    <t xml:space="preserve">2022-07-03 19:40:19
</t>
  </si>
  <si>
    <t xml:space="preserve">2022-07-04 09:47:41
</t>
  </si>
  <si>
    <t>李海燕</t>
  </si>
  <si>
    <t xml:space="preserve"> 刘琴英  发现问题  2022-06-28 19:33:14
李海燕  整改  2022-07-03 19:40:19
刘琴英  复检通过  2022-07-04 09:47:41
</t>
  </si>
  <si>
    <t xml:space="preserve">2022-07-03 19:40:32
</t>
  </si>
  <si>
    <t xml:space="preserve">2022-07-04 09:47:38
</t>
  </si>
  <si>
    <t xml:space="preserve"> 刘琴英  发现问题  2022-06-28 19:33:14
李海燕  整改  2022-07-03 19:40:32
刘琴英  复检通过  2022-07-04 09:47:38
</t>
  </si>
  <si>
    <t>武侯区佳灵路店</t>
  </si>
  <si>
    <t>2022-06-28 19:33:11</t>
  </si>
  <si>
    <t xml:space="preserve">2022-07-03 21:41:50
</t>
  </si>
  <si>
    <t xml:space="preserve">2022-07-04 09:47:36
</t>
  </si>
  <si>
    <t xml:space="preserve"> 刘琴英  发现问题  2022-06-28 19:33:11
李海燕  整改  2022-07-03 21:41:50
刘琴英  复检通过  2022-07-04 09:47:36
</t>
  </si>
  <si>
    <t xml:space="preserve">2022-07-03 21:42:15
</t>
  </si>
  <si>
    <t xml:space="preserve">2022-07-04 09:47:33
</t>
  </si>
  <si>
    <t xml:space="preserve"> 刘琴英  发现问题  2022-06-28 19:33:11
李海燕  整改  2022-07-03 21:42:15
刘琴英  复检通过  2022-07-04 09:47:33
</t>
  </si>
  <si>
    <t>2022-06-30 09:16:38</t>
  </si>
  <si>
    <t xml:space="preserve">2022-07-03 21:44:08
</t>
  </si>
  <si>
    <t xml:space="preserve">2022-07-04 09:47:31
</t>
  </si>
  <si>
    <t xml:space="preserve"> 刘琴英  发现问题  2022-06-30 09:16:38
李海燕  整改  2022-07-03 21:44:08
刘琴英  复检通过  2022-07-04 09:47:31
</t>
  </si>
  <si>
    <t xml:space="preserve">2022-07-03 21:43:51
</t>
  </si>
  <si>
    <t xml:space="preserve">2022-07-04 09:47:29
</t>
  </si>
  <si>
    <t xml:space="preserve"> 刘琴英  发现问题  2022-06-30 09:16:38
李海燕  整改  2022-07-03 21:43:51
刘琴英  复检通过  2022-07-04 09:47:29
</t>
  </si>
  <si>
    <t xml:space="preserve">2022-07-03 21:43:33
</t>
  </si>
  <si>
    <t xml:space="preserve">2022-07-04 09:47:26
</t>
  </si>
  <si>
    <t xml:space="preserve"> 刘琴英  发现问题  2022-06-30 09:16:38
李海燕  整改  2022-07-03 21:43:33
刘琴英  复检通过  2022-07-04 09:47:26
</t>
  </si>
  <si>
    <t>2022-06-30 09:16:40</t>
  </si>
  <si>
    <t xml:space="preserve">2022-07-03 19:41:19
</t>
  </si>
  <si>
    <t xml:space="preserve">2022-07-04 09:47:24
</t>
  </si>
  <si>
    <t xml:space="preserve"> 刘琴英  发现问题  2022-06-30 09:16:40
李海燕  整改  2022-07-03 19:41:19
刘琴英  复检通过  2022-07-04 09:47:24
</t>
  </si>
  <si>
    <t xml:space="preserve">2022-07-03 19:41:05
</t>
  </si>
  <si>
    <t xml:space="preserve">2022-07-04 09:47:21
</t>
  </si>
  <si>
    <t xml:space="preserve"> 刘琴英  发现问题  2022-06-30 09:16:40
李海燕  整改  2022-07-03 19:41:05
刘琴英  复检通过  2022-07-04 09:47:21
</t>
  </si>
  <si>
    <t xml:space="preserve">2022-07-03 19:40:54
</t>
  </si>
  <si>
    <t xml:space="preserve">2022-07-04 09:47:19
</t>
  </si>
  <si>
    <t xml:space="preserve"> 刘琴英  发现问题  2022-06-30 09:16:40
李海燕  整改  2022-07-03 19:40:54
刘琴英  复检通过  2022-07-04 09:47:19
</t>
  </si>
  <si>
    <t>2022-06-30 09:16:56</t>
  </si>
  <si>
    <t xml:space="preserve">2022-07-03 15:38:07
</t>
  </si>
  <si>
    <t xml:space="preserve">2022-07-04 09:47:16
</t>
  </si>
  <si>
    <t xml:space="preserve"> 刘琴英  发现问题  2022-06-30 09:16:56
张雪  整改  2022-07-03 15:38:07
 已整改
刘琴英  复检通过  2022-07-04 09:47:16
</t>
  </si>
  <si>
    <t xml:space="preserve">2022-07-03 15:37:29
</t>
  </si>
  <si>
    <t xml:space="preserve">2022-07-04 09:47:14
</t>
  </si>
  <si>
    <t xml:space="preserve"> 刘琴英  发现问题  2022-06-30 09:16:56
张雪  整改  2022-07-03 15:37:29
 已整改
刘琴英  复检通过  2022-07-04 09:47:14
</t>
  </si>
  <si>
    <t>金牛区黄苑东街药店</t>
  </si>
  <si>
    <t>2022-06-30 09:17:15</t>
  </si>
  <si>
    <t xml:space="preserve">2022-07-04 08:06:57
</t>
  </si>
  <si>
    <t xml:space="preserve">2022-07-04 09:47:12
</t>
  </si>
  <si>
    <t>梁娟</t>
  </si>
  <si>
    <t xml:space="preserve"> 刘琴英  发现问题  2022-06-30 09:17:15
梁娟  整改  2022-07-04 08:06:57
 已整改
刘琴英  复检通过  2022-07-04 09:47:12
</t>
  </si>
  <si>
    <t xml:space="preserve">2022-07-04 08:07:19
</t>
  </si>
  <si>
    <t xml:space="preserve">2022-07-04 09:47:10
</t>
  </si>
  <si>
    <t xml:space="preserve"> 刘琴英  发现问题  2022-06-30 09:17:15
梁娟  整改  2022-07-04 08:07:19
 已整改
刘琴英  复检通过  2022-07-04 09:47:10
</t>
  </si>
  <si>
    <t xml:space="preserve">2022-07-04 08:07:45
</t>
  </si>
  <si>
    <t xml:space="preserve">2022-07-04 09:47:08
</t>
  </si>
  <si>
    <t xml:space="preserve"> 刘琴英  发现问题  2022-06-30 09:17:15
梁娟  整改  2022-07-04 08:07:45
 已整改
刘琴英  复检通过  2022-07-04 09:47:08
</t>
  </si>
  <si>
    <t>2022-06-28 19:33:50</t>
  </si>
  <si>
    <t xml:space="preserve">2022-07-04 08:08:14
</t>
  </si>
  <si>
    <t xml:space="preserve">2022-07-04 09:47:05
</t>
  </si>
  <si>
    <t xml:space="preserve"> 刘琴英  发现问题  2022-06-28 19:33:50
梁娟  整改  2022-07-04 08:08:14
 已整改
刘琴英  复检通过  2022-07-04 09:47:05
</t>
  </si>
  <si>
    <t xml:space="preserve">2022-07-04 08:10:19
</t>
  </si>
  <si>
    <t xml:space="preserve">2022-07-04 09:47:03
</t>
  </si>
  <si>
    <t xml:space="preserve"> 刘琴英  发现问题  2022-06-28 19:33:50
梁娟  整改  2022-07-04 08:10:19
 已整改
刘琴英  复检通过  2022-07-04 09:47:03
</t>
  </si>
  <si>
    <t>清江东路药店</t>
  </si>
  <si>
    <t>2022-06-28 19:33:34</t>
  </si>
  <si>
    <t xml:space="preserve">2022-07-02 14:47:31
</t>
  </si>
  <si>
    <t xml:space="preserve">2022-07-03 12:22:11
</t>
  </si>
  <si>
    <t>胡艳弘</t>
  </si>
  <si>
    <t xml:space="preserve"> 刘琴英  发现问题  2022-06-28 19:33:34
胡艳弘  整改  2022-07-02 14:47:31
 已处理
刘琴英  复检通过  2022-07-03 12:22:11
</t>
  </si>
  <si>
    <t xml:space="preserve">2022-07-02 14:48:15
</t>
  </si>
  <si>
    <t xml:space="preserve">2022-07-03 12:22:09
</t>
  </si>
  <si>
    <t xml:space="preserve"> 刘琴英  发现问题  2022-06-28 19:33:34
胡艳弘  整改  2022-07-02 14:48:15
 已处理
刘琴英  复检通过  2022-07-03 12:22:09
</t>
  </si>
  <si>
    <t>花照壁中横街店</t>
  </si>
  <si>
    <t>2022-06-28 19:34:23</t>
  </si>
  <si>
    <t xml:space="preserve">2022-07-02 18:02:32
</t>
  </si>
  <si>
    <t xml:space="preserve">2022-07-03 12:21:51
</t>
  </si>
  <si>
    <t>廖艳萍</t>
  </si>
  <si>
    <t xml:space="preserve"> 刘琴英  发现问题  2022-06-28 19:34:23
廖艳萍  整改  2022-07-02 18:02:32
刘琴英  复检通过  2022-07-03 12:21:51
</t>
  </si>
  <si>
    <t>2022-06-28 19:33:52</t>
  </si>
  <si>
    <t xml:space="preserve">2022-07-02 18:02:49
</t>
  </si>
  <si>
    <t xml:space="preserve">2022-07-03 12:21:43
</t>
  </si>
  <si>
    <t xml:space="preserve"> 刘琴英  发现问题  2022-06-28 19:33:53
廖艳萍  整改  2022-07-02 18:02:49
刘琴英  复检通过  2022-07-03 12:21:43
</t>
  </si>
  <si>
    <t xml:space="preserve">2022-07-02 18:02:59
</t>
  </si>
  <si>
    <t xml:space="preserve">2022-07-03 12:21:38
</t>
  </si>
  <si>
    <t xml:space="preserve"> 刘琴英  发现问题  2022-06-28 19:33:53
廖艳萍  整改  2022-07-02 18:02:59
刘琴英  复检通过  2022-07-03 12:21:38
</t>
  </si>
  <si>
    <t>2022-06-25 21:50:51</t>
  </si>
  <si>
    <t xml:space="preserve">2022-07-02 18:03:30
</t>
  </si>
  <si>
    <t xml:space="preserve">2022-07-03 12:21:28
</t>
  </si>
  <si>
    <t xml:space="preserve"> 刘琴英  发现问题  2022-06-25 21:50:51
廖艳萍  整改  2022-07-02 18:03:30
刘琴英  复检通过  2022-07-03 12:21:28
</t>
  </si>
  <si>
    <t>金牛区蜀汉路店</t>
  </si>
  <si>
    <t>2022-06-28 19:33:39</t>
  </si>
  <si>
    <t xml:space="preserve">2022-07-02 20:28:11
</t>
  </si>
  <si>
    <t xml:space="preserve">2022-07-03 12:21:06
</t>
  </si>
  <si>
    <t xml:space="preserve"> 刘琴英  发现问题  2022-06-28 19:33:39
万雪倩  整改  2022-07-02 20:28:11
刘琴英  复检通过  2022-07-03 12:21:06
</t>
  </si>
  <si>
    <t xml:space="preserve">2022-07-02 20:28:32
</t>
  </si>
  <si>
    <t xml:space="preserve">2022-07-03 12:21:04
</t>
  </si>
  <si>
    <t xml:space="preserve"> 刘琴英  发现问题  2022-06-28 19:33:39
万雪倩  整改  2022-07-02 20:28:32
刘琴英  复检通过  2022-07-03 12:21:04
</t>
  </si>
  <si>
    <t>2022-06-25 21:51:05</t>
  </si>
  <si>
    <t xml:space="preserve">2022-07-02 20:29:39
</t>
  </si>
  <si>
    <t xml:space="preserve">2022-07-03 12:20:54
</t>
  </si>
  <si>
    <t xml:space="preserve"> 刘琴英  发现问题  2022-06-25 21:51:05
万雪倩  整改  2022-07-02 20:29:39
刘琴英  复检通过  2022-07-03 12:20:54
</t>
  </si>
  <si>
    <t>长寿路店</t>
  </si>
  <si>
    <t>2022-06-28 19:34:34</t>
  </si>
  <si>
    <t xml:space="preserve">2022-07-02 21:25:53
</t>
  </si>
  <si>
    <t xml:space="preserve">2022-07-03 12:20:52
</t>
  </si>
  <si>
    <t>吴湘燏</t>
  </si>
  <si>
    <t xml:space="preserve"> 刘琴英  发现问题  2022-06-28 19:34:34
吴湘燏  整改  2022-07-02 21:25:53
刘琴英  复检通过  2022-07-03 12:20:52
</t>
  </si>
  <si>
    <t>大邑元通路店</t>
  </si>
  <si>
    <t>待整改</t>
  </si>
  <si>
    <t>2022-06-28 23:56:08</t>
  </si>
  <si>
    <t/>
  </si>
  <si>
    <t>李秀辉</t>
  </si>
  <si>
    <t>任会茹</t>
  </si>
  <si>
    <t xml:space="preserve"> 任会茹  发现问题  2022-06-28 23:56:08
</t>
  </si>
  <si>
    <t>2022-06-28 23:56:26</t>
  </si>
  <si>
    <t xml:space="preserve"> 任会茹  发现问题  2022-06-28 23:56:26
</t>
  </si>
  <si>
    <t>都江堰奎光路店</t>
  </si>
  <si>
    <t>2022-06-25 17:08:25</t>
  </si>
  <si>
    <t xml:space="preserve">2022-06-30 21:13:25
</t>
  </si>
  <si>
    <t xml:space="preserve">2022-07-01 16:22:11
</t>
  </si>
  <si>
    <t>韩启敏</t>
  </si>
  <si>
    <t xml:space="preserve"> 苗凯  发现问题  2022-06-25 17:08:26
韩启敏  整改  2022-06-30 21:13:25
 睡眠专区
苗凯  复检通过  2022-07-01 16:22:11
</t>
  </si>
  <si>
    <t xml:space="preserve">2022-06-30 21:13:55
</t>
  </si>
  <si>
    <t xml:space="preserve">2022-07-01 16:22:08
</t>
  </si>
  <si>
    <t xml:space="preserve"> 苗凯  发现问题  2022-06-25 17:08:25
韩启敏  整改  2022-06-30 21:13:55
 体重管理陈列整改
苗凯  复检通过  2022-07-01 16:22:08
</t>
  </si>
  <si>
    <t xml:space="preserve">2022-06-30 21:14:58
</t>
  </si>
  <si>
    <t xml:space="preserve">2022-07-01 16:22:05
</t>
  </si>
  <si>
    <t xml:space="preserve"> 苗凯  发现问题  2022-06-25 17:08:25
韩启敏  整改  2022-06-30 21:14:58
 进门端架首层陈列
苗凯  复检通过  2022-07-01 16:22:05
</t>
  </si>
  <si>
    <t>2022-06-25 17:07:17</t>
  </si>
  <si>
    <t xml:space="preserve">2022-06-30 21:20:42
</t>
  </si>
  <si>
    <t xml:space="preserve">2022-07-01 16:22:02
</t>
  </si>
  <si>
    <t xml:space="preserve"> 苗凯  发现问题  2022-06-25 17:07:17
韩启敏  整改  2022-06-30 21:20:42
 货架从上到下第2-5层陈列
苗凯  复检通过  2022-07-01 16:22:02
</t>
  </si>
  <si>
    <t>2022-06-27 16:28:06</t>
  </si>
  <si>
    <t xml:space="preserve">2022-06-30 21:22:05
</t>
  </si>
  <si>
    <t xml:space="preserve">2022-07-01 16:21:59
</t>
  </si>
  <si>
    <t xml:space="preserve"> 苗凯  发现问题  2022-06-27 16:28:06
韩启敏  整改  2022-06-30 21:22:05
 进门桌面陈列
苗凯  复检通过  2022-07-01 16:21:59
</t>
  </si>
  <si>
    <t>紫薇东路店</t>
  </si>
  <si>
    <t>2022-06-25 21:51:03</t>
  </si>
  <si>
    <t xml:space="preserve">2022-06-30 09:34:48
</t>
  </si>
  <si>
    <t xml:space="preserve">2022-06-30 15:58:32
</t>
  </si>
  <si>
    <t>郭俊梅</t>
  </si>
  <si>
    <t xml:space="preserve"> 刘琴英  发现问题  2022-06-25 21:51:03
郭俊梅  整改  2022-06-30 09:34:48
刘琴英  复检通过  2022-06-30 15:58:32
</t>
  </si>
  <si>
    <t>十二桥店</t>
  </si>
  <si>
    <t>2022-06-23 23:38:07</t>
  </si>
  <si>
    <t>2022-06-23</t>
  </si>
  <si>
    <t xml:space="preserve">2022-06-28 20:34:33
</t>
  </si>
  <si>
    <t xml:space="preserve">2022-06-30 09:12:01
</t>
  </si>
  <si>
    <t>辜瑞琪</t>
  </si>
  <si>
    <t xml:space="preserve"> 刘琴英  发现问题  2022-06-23 23:38:07
辜瑞琪  整改  2022-06-28 20:34:33
 巳整改
刘琴英  复检通过  2022-06-30 09:12:01
</t>
  </si>
  <si>
    <t>2022-06-25 21:51:37</t>
  </si>
  <si>
    <t xml:space="preserve">2022-06-28 20:35:21
</t>
  </si>
  <si>
    <t xml:space="preserve">2022-06-30 09:11:59
</t>
  </si>
  <si>
    <t xml:space="preserve"> 刘琴英  发现问题  2022-06-25 21:51:37
辜瑞琪  整改  2022-06-28 20:35:21
 巳陈列
刘琴英  复检通过  2022-06-30 09:11:59
</t>
  </si>
  <si>
    <t>武侯区顺和街店</t>
  </si>
  <si>
    <t>2022-06-23 23:38:14</t>
  </si>
  <si>
    <t xml:space="preserve">2022-06-28 12:54:39
</t>
  </si>
  <si>
    <t xml:space="preserve">2022-06-28 15:07:10
</t>
  </si>
  <si>
    <t>黄焰</t>
  </si>
  <si>
    <t xml:space="preserve"> 刘琴英  发现问题  2022-06-23 23:38:14
黄焰  整改  2022-06-28 12:54:39
 已整改
刘琴英  复检通过  2022-06-28 15:07:10
</t>
  </si>
  <si>
    <t>2022-06-22 10:11:40</t>
  </si>
  <si>
    <t xml:space="preserve">2022-06-28 13:06:33
</t>
  </si>
  <si>
    <t xml:space="preserve">2022-06-28 15:07:06
</t>
  </si>
  <si>
    <t xml:space="preserve"> 刘琴英  发现问题  2022-06-22 10:11:40
黄焰  整改  2022-06-28 13:06:33
 已整改(缺货)
刘琴英  复检通过  2022-06-28 15:07:06
</t>
  </si>
  <si>
    <t xml:space="preserve">2022-06-28 13:06:00
</t>
  </si>
  <si>
    <t xml:space="preserve">2022-06-28 15:07:01
</t>
  </si>
  <si>
    <t xml:space="preserve"> 刘琴英  发现问题  2022-06-22 10:11:41
黄焰  整改  2022-06-28 13:06:00
 已整改
刘琴英  复检通过  2022-06-28 15:07:01
</t>
  </si>
  <si>
    <t xml:space="preserve">2022-06-28 13:05:32
</t>
  </si>
  <si>
    <t xml:space="preserve">2022-06-28 15:06:51
</t>
  </si>
  <si>
    <t xml:space="preserve"> 刘琴英  发现问题  2022-06-22 10:11:41
黄焰  整改  2022-06-28 13:05:32
 已整改
刘琴英  复检通过  2022-06-28 15:06:51
</t>
  </si>
  <si>
    <t>2022-06-22 10:12:54</t>
  </si>
  <si>
    <t xml:space="preserve">2022-06-28 13:04:59
</t>
  </si>
  <si>
    <t xml:space="preserve">2022-06-28 15:06:47
</t>
  </si>
  <si>
    <t xml:space="preserve"> 刘琴英  发现问题  2022-06-22 10:12:54
黄焰  整改  2022-06-28 13:04:59
 已整改
刘琴英  复检通过  2022-06-28 15:06:47
</t>
  </si>
  <si>
    <t xml:space="preserve">2022-06-28 13:04:25
</t>
  </si>
  <si>
    <t xml:space="preserve">2022-06-28 15:06:43
</t>
  </si>
  <si>
    <t xml:space="preserve"> 刘琴英  发现问题  2022-06-22 10:12:54
黄焰  整改  2022-06-28 13:04:25
 已整改
刘琴英  复检通过  2022-06-28 15:06:43
</t>
  </si>
  <si>
    <t>2022-06-22 10:14:13</t>
  </si>
  <si>
    <t xml:space="preserve">2022-06-28 13:04:06
</t>
  </si>
  <si>
    <t xml:space="preserve">2022-06-28 15:06:39
</t>
  </si>
  <si>
    <t xml:space="preserve"> 刘琴英  发现问题  2022-06-22 10:14:13
黄焰  整改  2022-06-28 13:04:06
 已整改
刘琴英  复检通过  2022-06-28 15:06:39
</t>
  </si>
  <si>
    <t>2022-06-19 23:27:23</t>
  </si>
  <si>
    <t>2022-06-19</t>
  </si>
  <si>
    <t xml:space="preserve">2022-06-28 13:08:34
</t>
  </si>
  <si>
    <t xml:space="preserve">2022-06-28 15:06:36
</t>
  </si>
  <si>
    <t xml:space="preserve"> 刘琴英  发现问题  2022-06-19 23:27:23
黄焰  整改  2022-06-28 13:08:34
 已整改
刘琴英  复检通过  2022-06-28 15:06:36
</t>
  </si>
  <si>
    <t>2022-06-17 23:45:27</t>
  </si>
  <si>
    <t>2022-06-17</t>
  </si>
  <si>
    <t>2022-06-20</t>
  </si>
  <si>
    <t xml:space="preserve">2022-06-28 13:11:15
</t>
  </si>
  <si>
    <t xml:space="preserve">2022-06-28 15:06:32
</t>
  </si>
  <si>
    <t xml:space="preserve"> 刘琴英  发现问题  2022-06-17 23:45:27
黄焰  整改  2022-06-28 13:11:15
 已整改
刘琴英  复检通过  2022-06-28 15:06:32
</t>
  </si>
  <si>
    <t xml:space="preserve">2022-06-28 13:09:49
</t>
  </si>
  <si>
    <t xml:space="preserve">2022-06-28 15:06:28
</t>
  </si>
  <si>
    <t xml:space="preserve"> 刘琴英  发现问题  2022-06-17 23:45:27
黄焰  整改  2022-06-28 13:09:49
 已整改
刘琴英  复检通过  2022-06-28 15:06:28
</t>
  </si>
  <si>
    <t xml:space="preserve">2022-06-28 13:09:07
</t>
  </si>
  <si>
    <t xml:space="preserve">2022-06-28 15:06:23
</t>
  </si>
  <si>
    <t xml:space="preserve"> 刘琴英  发现问题  2022-06-17 23:45:27
黄焰  整改  2022-06-28 13:09:07
 已整改
刘琴英  复检通过  2022-06-28 15:06:23
</t>
  </si>
  <si>
    <t>2022-06-16 11:06:30</t>
  </si>
  <si>
    <t>2022-06-16</t>
  </si>
  <si>
    <t xml:space="preserve">2022-06-28 13:13:30
</t>
  </si>
  <si>
    <t xml:space="preserve">2022-06-28 15:06:19
</t>
  </si>
  <si>
    <t xml:space="preserve"> 刘琴英  发现问题  2022-06-16 11:06:30
黄焰  整改  2022-06-28 13:13:30
 暂时缺货
刘琴英  复检通过  2022-06-28 15:06:19
</t>
  </si>
  <si>
    <t xml:space="preserve">2022-06-28 13:12:50
</t>
  </si>
  <si>
    <t xml:space="preserve">2022-06-28 15:06:13
</t>
  </si>
  <si>
    <t xml:space="preserve"> 刘琴英  发现问题  2022-06-16 11:06:30
黄焰  整改  2022-06-28 13:12:50
 已整改
刘琴英  复检通过  2022-06-28 15:06:13
</t>
  </si>
  <si>
    <t xml:space="preserve">2022-06-28 13:13:19
</t>
  </si>
  <si>
    <t xml:space="preserve">2022-06-28 15:06:09
</t>
  </si>
  <si>
    <t xml:space="preserve"> 刘琴英  发现问题  2022-06-16 11:06:30
黄焰  整改  2022-06-28 13:13:19
 已整改
刘琴英  复检通过  2022-06-28 15:06:09
</t>
  </si>
  <si>
    <t>2022-06-16 18:40:08</t>
  </si>
  <si>
    <t xml:space="preserve">2022-06-28 13:12:14
</t>
  </si>
  <si>
    <t xml:space="preserve">2022-06-28 15:06:03
</t>
  </si>
  <si>
    <t xml:space="preserve"> 刘琴英  发现问题  2022-06-16 18:40:08
黄焰  整改  2022-06-28 13:12:14
 已整改
刘琴英  复检通过  2022-06-28 15:06:03
</t>
  </si>
  <si>
    <t>枣子巷药店</t>
  </si>
  <si>
    <t>2022-06-04 10:24:42</t>
  </si>
  <si>
    <t>2022-06-04</t>
  </si>
  <si>
    <t>2022-06-07</t>
  </si>
  <si>
    <t xml:space="preserve">2022-06-26 21:53:30
</t>
  </si>
  <si>
    <t xml:space="preserve">2022-06-27 22:02:31
</t>
  </si>
  <si>
    <t>刘洋</t>
  </si>
  <si>
    <t xml:space="preserve"> 刘琴英  发现问题  2022-06-04 10:24:42
刘洋  整改  2022-06-26 21:53:30
 已整改
刘琴英  复检通过  2022-06-27 22:02:31
</t>
  </si>
  <si>
    <t>2022-06-22 10:14:08</t>
  </si>
  <si>
    <t xml:space="preserve">2022-06-26 21:54:04
</t>
  </si>
  <si>
    <t xml:space="preserve">2022-06-27 22:02:29
</t>
  </si>
  <si>
    <t xml:space="preserve"> 刘琴英  发现问题  2022-06-22 10:14:08
刘洋  整改  2022-06-26 21:54:04
 已整改
刘琴英  复检通过  2022-06-27 22:02:29
</t>
  </si>
  <si>
    <t>2022-06-22 10:14:00</t>
  </si>
  <si>
    <t xml:space="preserve">2022-06-26 21:54:33
</t>
  </si>
  <si>
    <t xml:space="preserve">2022-06-27 22:02:27
</t>
  </si>
  <si>
    <t xml:space="preserve"> 刘琴英  发现问题  2022-06-22 10:14:00
刘洋  整改  2022-06-26 21:54:33
 已整改
刘琴英  复检通过  2022-06-27 22:02:27
</t>
  </si>
  <si>
    <t xml:space="preserve">2022-06-26 21:55:01
</t>
  </si>
  <si>
    <t xml:space="preserve">2022-06-27 22:02:24
</t>
  </si>
  <si>
    <t xml:space="preserve"> 刘琴英  发现问题  2022-06-22 10:14:00
刘洋  整改  2022-06-26 21:55:01
 已整改
刘琴英  复检通过  2022-06-27 22:02:24
</t>
  </si>
  <si>
    <t>2022-06-22 10:10:32</t>
  </si>
  <si>
    <t xml:space="preserve">2022-06-26 21:55:22
</t>
  </si>
  <si>
    <t xml:space="preserve">2022-06-27 22:02:22
</t>
  </si>
  <si>
    <t xml:space="preserve"> 刘琴英  发现问题  2022-06-22 10:10:32
刘洋  整改  2022-06-26 21:55:22
 已整改
刘琴英  复检通过  2022-06-27 22:02:22
</t>
  </si>
  <si>
    <t xml:space="preserve">2022-06-26 21:55:40
</t>
  </si>
  <si>
    <t xml:space="preserve">2022-06-27 22:02:20
</t>
  </si>
  <si>
    <t xml:space="preserve"> 刘琴英  发现问题  2022-06-22 10:10:32
刘洋  整改  2022-06-26 21:55:40
 已整改
刘琴英  复检通过  2022-06-27 22:02:20
</t>
  </si>
  <si>
    <t xml:space="preserve">2022-06-26 21:56:12
</t>
  </si>
  <si>
    <t xml:space="preserve">2022-06-27 22:02:18
</t>
  </si>
  <si>
    <t xml:space="preserve"> 刘琴英  发现问题  2022-06-22 10:10:32
刘洋  整改  2022-06-26 21:56:12
 已整改
刘琴英  复检通过  2022-06-27 22:02:18
</t>
  </si>
  <si>
    <t>2022-06-19 23:27:32</t>
  </si>
  <si>
    <t xml:space="preserve">2022-06-26 21:57:04
</t>
  </si>
  <si>
    <t xml:space="preserve">2022-06-27 22:02:13
</t>
  </si>
  <si>
    <t xml:space="preserve"> 刘琴英  发现问题  2022-06-19 23:27:32
刘洋  整改  2022-06-26 21:57:04
 已整改
刘琴英  复检通过  2022-06-27 22:02:13
</t>
  </si>
  <si>
    <t>2022-06-17 23:45:30</t>
  </si>
  <si>
    <t xml:space="preserve">2022-06-26 21:57:34
</t>
  </si>
  <si>
    <t xml:space="preserve">2022-06-27 22:02:10
</t>
  </si>
  <si>
    <t xml:space="preserve"> 刘琴英  发现问题  2022-06-17 23:45:30
刘洋  整改  2022-06-26 21:57:34
 已整改
刘琴英  复检通过  2022-06-27 22:02:10
</t>
  </si>
  <si>
    <t xml:space="preserve">2022-06-26 21:57:53
</t>
  </si>
  <si>
    <t xml:space="preserve">2022-06-27 22:02:08
</t>
  </si>
  <si>
    <t xml:space="preserve"> 刘琴英  发现问题  2022-06-17 23:45:30
刘洋  整改  2022-06-26 21:57:53
刘琴英  复检通过  2022-06-27 22:02:08
</t>
  </si>
  <si>
    <t xml:space="preserve">2022-06-26 21:58:05
</t>
  </si>
  <si>
    <t xml:space="preserve">2022-06-27 22:02:05
</t>
  </si>
  <si>
    <t xml:space="preserve"> 刘琴英  发现问题  2022-06-17 23:45:30
刘洋  整改  2022-06-26 21:58:05
 已整改
刘琴英  复检通过  2022-06-27 22:02:05
</t>
  </si>
  <si>
    <t>2022-06-16 18:40:11</t>
  </si>
  <si>
    <t xml:space="preserve">2022-06-26 22:05:55
</t>
  </si>
  <si>
    <t xml:space="preserve">2022-06-27 22:02:03
</t>
  </si>
  <si>
    <t xml:space="preserve"> 刘琴英  发现问题  2022-06-16 18:40:11
刘洋  整改  2022-06-26 22:05:55
刘琴英  复检通过  2022-06-27 22:02:03
</t>
  </si>
  <si>
    <t>2022-06-16 11:06:23</t>
  </si>
  <si>
    <t xml:space="preserve">2022-06-26 22:06:06
</t>
  </si>
  <si>
    <t xml:space="preserve">2022-06-27 22:02:00
</t>
  </si>
  <si>
    <t xml:space="preserve"> 刘琴英  发现问题  2022-06-16 11:06:23
刘洋  整改  2022-06-26 22:06:06
刘琴英  复检通过  2022-06-27 22:02:00
</t>
  </si>
  <si>
    <t xml:space="preserve">2022-06-26 22:06:18
</t>
  </si>
  <si>
    <t xml:space="preserve">2022-06-27 22:01:58
</t>
  </si>
  <si>
    <t xml:space="preserve"> 刘琴英  发现问题  2022-06-16 11:06:23
刘洋  整改  2022-06-26 22:06:18
刘琴英  复检通过  2022-06-27 22:01:58
</t>
  </si>
  <si>
    <t>2022-06-22 10:14:49</t>
  </si>
  <si>
    <t xml:space="preserve">2022-06-27 07:36:23
</t>
  </si>
  <si>
    <t xml:space="preserve">2022-06-27 22:01:55
</t>
  </si>
  <si>
    <t xml:space="preserve"> 刘琴英  发现问题  2022-06-22 10:14:49
李梦菊  整改  2022-06-27 07:36:23
 已整改
刘琴英  复检通过  2022-06-27 22:01:55
</t>
  </si>
  <si>
    <t>2022-06-22 10:13:39</t>
  </si>
  <si>
    <t xml:space="preserve">2022-06-27 07:36:29
</t>
  </si>
  <si>
    <t xml:space="preserve">2022-06-27 22:01:53
</t>
  </si>
  <si>
    <t xml:space="preserve"> 刘琴英  发现问题  2022-06-22 10:13:39
李梦菊  整改  2022-06-27 07:36:29
 已整改
刘琴英  复检通过  2022-06-27 22:01:53
</t>
  </si>
  <si>
    <t xml:space="preserve">2022-06-27 07:36:34
</t>
  </si>
  <si>
    <t xml:space="preserve">2022-06-27 22:01:40
</t>
  </si>
  <si>
    <t xml:space="preserve"> 刘琴英  发现问题  2022-06-22 10:13:39
李梦菊  整改  2022-06-27 07:36:34
 已整改
刘琴英  复检通过  2022-06-27 22:01:40
</t>
  </si>
  <si>
    <t>2022-06-22 10:12:28</t>
  </si>
  <si>
    <t xml:space="preserve">2022-06-27 07:36:39
</t>
  </si>
  <si>
    <t xml:space="preserve">2022-06-27 22:01:37
</t>
  </si>
  <si>
    <t xml:space="preserve"> 刘琴英  发现问题  2022-06-22 10:12:28
李梦菊  整改  2022-06-27 07:36:39
 已整改
刘琴英  复检通过  2022-06-27 22:01:37
</t>
  </si>
  <si>
    <t xml:space="preserve">2022-06-27 07:36:44
</t>
  </si>
  <si>
    <t xml:space="preserve">2022-06-27 22:01:30
</t>
  </si>
  <si>
    <t xml:space="preserve"> 刘琴英  发现问题  2022-06-22 10:12:28
李梦菊  整改  2022-06-27 07:36:44
 已整改
刘琴英  复检通过  2022-06-27 22:01:30
</t>
  </si>
  <si>
    <t xml:space="preserve">2022-06-27 07:36:49
</t>
  </si>
  <si>
    <t xml:space="preserve">2022-06-27 22:01:28
</t>
  </si>
  <si>
    <t xml:space="preserve"> 刘琴英  发现问题  2022-06-22 10:12:28
李梦菊  整改  2022-06-27 07:36:49
 已整改
刘琴英  复检通过  2022-06-27 22:01:28
</t>
  </si>
  <si>
    <t>2022-06-23 23:37:51</t>
  </si>
  <si>
    <t xml:space="preserve">2022-06-27 07:36:59
</t>
  </si>
  <si>
    <t xml:space="preserve">2022-06-27 22:01:22
</t>
  </si>
  <si>
    <t xml:space="preserve"> 刘琴英  发现问题  2022-06-23 23:37:51
李梦菊  整改  2022-06-27 07:36:59
 已整改
刘琴英  复检通过  2022-06-27 22:01:22
</t>
  </si>
  <si>
    <t>2022-06-23 23:38:16</t>
  </si>
  <si>
    <t xml:space="preserve">2022-06-26 21:56:47
</t>
  </si>
  <si>
    <t xml:space="preserve">2022-06-27 22:01:20
</t>
  </si>
  <si>
    <t xml:space="preserve"> 刘琴英  发现问题  2022-06-23 23:38:16
刘洋  整改  2022-06-26 21:56:47
 已整改
刘琴英  复检通过  2022-06-27 22:01:20
</t>
  </si>
  <si>
    <t>2022-06-23 23:37:46</t>
  </si>
  <si>
    <t xml:space="preserve">2022-06-27 12:32:52
</t>
  </si>
  <si>
    <t xml:space="preserve">2022-06-27 22:01:15
</t>
  </si>
  <si>
    <t xml:space="preserve"> 刘琴英  发现问题  2022-06-23 23:37:46
吴湘燏  整改  2022-06-27 12:32:52
刘琴英  复检通过  2022-06-27 22:01:15
</t>
  </si>
  <si>
    <t>2022-06-22 10:14:53</t>
  </si>
  <si>
    <t xml:space="preserve">2022-06-27 12:33:32
</t>
  </si>
  <si>
    <t xml:space="preserve">2022-06-27 22:01:12
</t>
  </si>
  <si>
    <t xml:space="preserve"> 刘琴英  发现问题  2022-06-22 10:14:53
吴湘燏  整改  2022-06-27 12:33:32
 百多邦没有货了
刘琴英  复检通过  2022-06-27 22:01:12
</t>
  </si>
  <si>
    <t>2022-06-22 10:13:55</t>
  </si>
  <si>
    <t xml:space="preserve">2022-06-27 12:34:23
</t>
  </si>
  <si>
    <t xml:space="preserve">2022-06-27 22:01:10
</t>
  </si>
  <si>
    <t xml:space="preserve"> 刘琴英  发现问题  2022-06-22 10:13:55
吴湘燏  整改  2022-06-27 12:34:23
刘琴英  复检通过  2022-06-27 22:01:10
</t>
  </si>
  <si>
    <t xml:space="preserve">2022-06-27 12:34:38
</t>
  </si>
  <si>
    <t xml:space="preserve">2022-06-27 22:01:08
</t>
  </si>
  <si>
    <t xml:space="preserve"> 刘琴英  发现问题  2022-06-22 10:13:55
吴湘燏  整改  2022-06-27 12:34:38
刘琴英  复检通过  2022-06-27 22:01:08
</t>
  </si>
  <si>
    <t>2022-06-22 10:12:39</t>
  </si>
  <si>
    <t xml:space="preserve">2022-06-27 12:35:00
</t>
  </si>
  <si>
    <t xml:space="preserve">2022-06-27 22:01:05
</t>
  </si>
  <si>
    <t xml:space="preserve"> 刘琴英  发现问题  2022-06-22 10:12:39
吴湘燏  整改  2022-06-27 12:35:00
刘琴英  复检通过  2022-06-27 22:01:05
</t>
  </si>
  <si>
    <t xml:space="preserve">2022-06-27 12:35:18
</t>
  </si>
  <si>
    <t xml:space="preserve">2022-06-27 22:01:03
</t>
  </si>
  <si>
    <t xml:space="preserve"> 刘琴英  发现问题  2022-06-22 10:12:39
吴湘燏  整改  2022-06-27 12:35:18
刘琴英  复检通过  2022-06-27 22:01:03
</t>
  </si>
  <si>
    <t xml:space="preserve">2022-06-27 12:35:33
</t>
  </si>
  <si>
    <t xml:space="preserve">2022-06-27 22:01:01
</t>
  </si>
  <si>
    <t xml:space="preserve"> 刘琴英  发现问题  2022-06-22 10:12:39
吴湘燏  整改  2022-06-27 12:35:33
刘琴英  复检通过  2022-06-27 22:01:01
</t>
  </si>
  <si>
    <t>2022-06-23 23:38:02</t>
  </si>
  <si>
    <t xml:space="preserve">2022-06-27 14:40:18
</t>
  </si>
  <si>
    <t xml:space="preserve">2022-06-27 22:00:55
</t>
  </si>
  <si>
    <t xml:space="preserve"> 刘琴英  发现问题  2022-06-23 23:38:02
张雪  整改  2022-06-27 14:40:18
 无过期商品
刘琴英  复检通过  2022-06-27 22:00:55
</t>
  </si>
  <si>
    <t>陈列展示（评星）</t>
  </si>
  <si>
    <t>4.商品和标价签一一对应，标价签清晰、无破损、无缺失、无涂改</t>
  </si>
  <si>
    <t>2022-06-22 12:47:47</t>
  </si>
  <si>
    <t xml:space="preserve">2022-06-27 14:41:00
</t>
  </si>
  <si>
    <t xml:space="preserve">2022-06-27 22:00:53
</t>
  </si>
  <si>
    <t xml:space="preserve"> 刘琴英  发现问题  2022-06-22 12:47:48
张雪  整改  2022-06-27 14:41:00
 已整改
刘琴英  复检通过  2022-06-27 22:00:53
</t>
  </si>
  <si>
    <t>清洁卫生（评星）</t>
  </si>
  <si>
    <t>8.收银台：无杂物；物品、抽屉内整洁；收银台下方线路整齐</t>
  </si>
  <si>
    <t xml:space="preserve">2022-06-27 14:42:27
</t>
  </si>
  <si>
    <t xml:space="preserve">2022-06-27 22:00:50
</t>
  </si>
  <si>
    <t xml:space="preserve"> 刘琴英  发现问题  2022-06-22 12:47:48
张雪  整改  2022-06-27 14:42:27
 已整改
刘琴英  复检通过  2022-06-27 22:00:50
</t>
  </si>
  <si>
    <t>6.标识标牌：无尘</t>
  </si>
  <si>
    <t xml:space="preserve">2022-06-27 14:43:18
</t>
  </si>
  <si>
    <t xml:space="preserve">2022-06-27 22:00:48
</t>
  </si>
  <si>
    <t xml:space="preserve"> 刘琴英  发现问题  2022-06-22 12:47:47
张雪  整改  2022-06-27 14:43:18
 已整改
刘琴英  复检通过  2022-06-27 22:00:48
</t>
  </si>
  <si>
    <t>店面形象（评星）</t>
  </si>
  <si>
    <t>1.店招、店门、橱窗明净通透，无污渍、无张贴残留物、无胶印</t>
  </si>
  <si>
    <t xml:space="preserve">2022-06-27 14:44:08
</t>
  </si>
  <si>
    <t xml:space="preserve">2022-06-27 22:00:46
</t>
  </si>
  <si>
    <t xml:space="preserve"> 刘琴英  发现问题  2022-06-22 12:47:47
张雪  整改  2022-06-27 14:44:08
 已整改
刘琴英  复检通过  2022-06-27 22:00:46
</t>
  </si>
  <si>
    <t>2022-06-22 10:14:29</t>
  </si>
  <si>
    <t xml:space="preserve">2022-06-27 14:45:09
</t>
  </si>
  <si>
    <t xml:space="preserve">2022-06-27 22:00:43
</t>
  </si>
  <si>
    <t xml:space="preserve"> 刘琴英  发现问题  2022-06-22 10:14:29
张雪  整改  2022-06-27 14:45:09
 已陈列
刘琴英  复检通过  2022-06-27 22:00:43
</t>
  </si>
  <si>
    <t>2022-06-22 10:36:34</t>
  </si>
  <si>
    <t xml:space="preserve">2022-06-25 17:49:35
</t>
  </si>
  <si>
    <t xml:space="preserve">2022-06-27 16:29:36
</t>
  </si>
  <si>
    <t xml:space="preserve"> 苗凯  发现问题  2022-06-22 10:36:34
周有惠  整改  2022-06-25 17:49:35
 已整改
苗凯  复检通过  2022-06-27 16:29:36
</t>
  </si>
  <si>
    <t>2022-06-22 10:37:06</t>
  </si>
  <si>
    <t xml:space="preserve">2022-06-25 17:53:41
</t>
  </si>
  <si>
    <t xml:space="preserve">2022-06-27 16:29:33
</t>
  </si>
  <si>
    <t xml:space="preserve"> 苗凯  发现问题  2022-06-22 10:37:06
周有惠  整改  2022-06-25 17:53:41
 已整改
苗凯  复检通过  2022-06-27 16:29:33
</t>
  </si>
  <si>
    <t xml:space="preserve">2022-06-25 17:52:11
</t>
  </si>
  <si>
    <t xml:space="preserve">2022-06-27 16:29:30
</t>
  </si>
  <si>
    <t xml:space="preserve"> 苗凯  发现问题  2022-06-22 10:37:06
周有惠  整改  2022-06-25 17:52:11
 已整改
苗凯  复检通过  2022-06-27 16:29:30
</t>
  </si>
  <si>
    <t>2022-06-23 17:06:50</t>
  </si>
  <si>
    <t xml:space="preserve">2022-06-25 17:51:36
</t>
  </si>
  <si>
    <t xml:space="preserve">2022-06-27 16:29:05
</t>
  </si>
  <si>
    <t xml:space="preserve"> 苗凯  发现问题  2022-06-23 17:06:50
周有惠  整改  2022-06-25 17:51:36
 已整改
苗凯  复检通过  2022-06-27 16:29:05
</t>
  </si>
  <si>
    <t>2022-06-23 17:07:22</t>
  </si>
  <si>
    <t xml:space="preserve">2022-06-25 17:51:20
</t>
  </si>
  <si>
    <t xml:space="preserve">2022-06-27 16:29:02
</t>
  </si>
  <si>
    <t xml:space="preserve"> 苗凯  发现问题  2022-06-23 17:07:22
周有惠  整改  2022-06-25 17:51:20
 已整改
苗凯  复检通过  2022-06-27 16:29:02
</t>
  </si>
  <si>
    <t>宏济中路店</t>
  </si>
  <si>
    <t>4.顾客休息椅：摆放店外，干净整洁，无破损</t>
  </si>
  <si>
    <t>2022-06-20 11:31:47</t>
  </si>
  <si>
    <t xml:space="preserve">2022-06-25 16:30:26
</t>
  </si>
  <si>
    <t xml:space="preserve">2022-06-27 10:04:26
</t>
  </si>
  <si>
    <t>宋留艺</t>
  </si>
  <si>
    <t>何巍</t>
  </si>
  <si>
    <t xml:space="preserve"> 何巍  发现问题  2022-06-20 11:31:48
宋留艺  整改  2022-06-25 16:30:26
 已整改
何巍  复检通过  2022-06-27 10:04:26
</t>
  </si>
  <si>
    <t>1.白色手套触摸货架、商品、设施设备无尘</t>
  </si>
  <si>
    <t xml:space="preserve">2022-06-25 16:30:57
</t>
  </si>
  <si>
    <t xml:space="preserve">2022-06-27 10:04:17
</t>
  </si>
  <si>
    <t xml:space="preserve"> 何巍  发现问题  2022-06-20 11:31:48
宋留艺  整改  2022-06-25 16:30:57
 已整改
何巍  复检通过  2022-06-27 10:04:17
</t>
  </si>
  <si>
    <t>2022-06-22 10:12:22</t>
  </si>
  <si>
    <t xml:space="preserve">2022-06-26 21:42:27
</t>
  </si>
  <si>
    <t xml:space="preserve">2022-06-26 21:46:38
</t>
  </si>
  <si>
    <t xml:space="preserve"> 刘琴英  发现问题  2022-06-22 10:12:22
梁娟  整改  2022-06-26 21:42:27
 已整改
刘琴英  复检通过  2022-06-26 21:46:38
</t>
  </si>
  <si>
    <t xml:space="preserve">2022-06-26 21:43:01
</t>
  </si>
  <si>
    <t xml:space="preserve">2022-06-26 21:46:35
</t>
  </si>
  <si>
    <t xml:space="preserve"> 刘琴英  发现问题  2022-06-22 10:12:22
梁娟  整改  2022-06-26 21:43:01
 已整改
刘琴英  复检通过  2022-06-26 21:46:35
</t>
  </si>
  <si>
    <t xml:space="preserve">2022-06-26 21:43:19
</t>
  </si>
  <si>
    <t xml:space="preserve">2022-06-26 21:46:33
</t>
  </si>
  <si>
    <t xml:space="preserve"> 刘琴英  发现问题  2022-06-22 10:12:22
梁娟  整改  2022-06-26 21:43:19
 已整改
刘琴英  复检通过  2022-06-26 21:46:33
</t>
  </si>
  <si>
    <t>2022-06-22 10:13:33</t>
  </si>
  <si>
    <t xml:space="preserve">2022-06-26 21:43:56
</t>
  </si>
  <si>
    <t xml:space="preserve">2022-06-26 21:46:31
</t>
  </si>
  <si>
    <t xml:space="preserve"> 刘琴英  发现问题  2022-06-22 10:13:33
梁娟  整改  2022-06-26 21:43:56
 已整改 
刘琴英  复检通过  2022-06-26 21:46:31
</t>
  </si>
  <si>
    <t xml:space="preserve">2022-06-26 21:44:11
</t>
  </si>
  <si>
    <t xml:space="preserve">2022-06-26 21:46:28
</t>
  </si>
  <si>
    <t xml:space="preserve"> 刘琴英  发现问题  2022-06-22 10:13:34
梁娟  整改  2022-06-26 21:44:11
 已整改
刘琴英  复检通过  2022-06-26 21:46:28
</t>
  </si>
  <si>
    <t>2022-06-22 10:11:59</t>
  </si>
  <si>
    <t xml:space="preserve">2022-06-25 14:19:36
</t>
  </si>
  <si>
    <t xml:space="preserve">2022-06-26 13:09:19
</t>
  </si>
  <si>
    <t xml:space="preserve"> 刘琴英  发现问题  2022-06-22 10:11:59
杨红  整改  2022-06-25 14:19:36
 已整改
刘琴英  复检通过  2022-06-26 13:09:19
</t>
  </si>
  <si>
    <t>沙湾东一路店</t>
  </si>
  <si>
    <t xml:space="preserve">2022-06-25 14:20:46
</t>
  </si>
  <si>
    <t xml:space="preserve">2022-06-26 13:09:17
</t>
  </si>
  <si>
    <t xml:space="preserve"> 刘琴英  发现问题  2022-06-22 10:11:59
杨红  整改  2022-06-25 14:20:46
 已整改
刘琴英  复检通过  2022-06-26 13:09:17
</t>
  </si>
  <si>
    <t xml:space="preserve">2022-06-25 14:21:30
</t>
  </si>
  <si>
    <t xml:space="preserve">2022-06-26 13:09:14
</t>
  </si>
  <si>
    <t xml:space="preserve"> 刘琴英  发现问题  2022-06-22 10:11:59
杨红  整改  2022-06-25 14:21:30
 已整改
刘琴英  复检通过  2022-06-26 13:09:14
</t>
  </si>
  <si>
    <t>2022-06-22 10:13:10</t>
  </si>
  <si>
    <t xml:space="preserve">2022-06-25 14:22:27
</t>
  </si>
  <si>
    <t xml:space="preserve">2022-06-26 13:09:12
</t>
  </si>
  <si>
    <t xml:space="preserve"> 刘琴英  发现问题  2022-06-22 10:13:10
杨红  整改  2022-06-25 14:22:27
 已整改
刘琴英  复检通过  2022-06-26 13:09:12
</t>
  </si>
  <si>
    <t xml:space="preserve">2022-06-25 14:22:48
</t>
  </si>
  <si>
    <t xml:space="preserve">2022-06-26 13:09:09
</t>
  </si>
  <si>
    <t xml:space="preserve"> 刘琴英  发现问题  2022-06-22 10:13:10
杨红  整改  2022-06-25 14:22:48
 已整改
刘琴英  复检通过  2022-06-26 13:09:09
</t>
  </si>
  <si>
    <t>2022-06-22 10:14:27</t>
  </si>
  <si>
    <t xml:space="preserve">2022-06-25 14:23:38
</t>
  </si>
  <si>
    <t xml:space="preserve">2022-06-26 13:09:07
</t>
  </si>
  <si>
    <t xml:space="preserve"> 刘琴英  发现问题  2022-06-22 10:14:27
杨红  整改  2022-06-25 14:23:38
 已整改
刘琴英  复检通过  2022-06-26 13:09:07
</t>
  </si>
  <si>
    <t>金牛区金沙路药店</t>
  </si>
  <si>
    <t>2022-06-22 10:14:36</t>
  </si>
  <si>
    <t xml:space="preserve">2022-06-26 08:46:49
</t>
  </si>
  <si>
    <t xml:space="preserve">2022-06-26 13:09:02
</t>
  </si>
  <si>
    <t>刘秀琼</t>
  </si>
  <si>
    <t xml:space="preserve"> 刘琴英  发现问题  2022-06-22 10:14:36
刘秀琼  整改  2022-06-26 08:46:49
 已整改
刘琴英  复检通过  2022-06-26 13:09:02
</t>
  </si>
  <si>
    <t>2022-06-22 10:13:28</t>
  </si>
  <si>
    <t xml:space="preserve">2022-06-26 08:47:06
</t>
  </si>
  <si>
    <t xml:space="preserve">2022-06-26 13:09:00
</t>
  </si>
  <si>
    <t xml:space="preserve"> 刘琴英  发现问题  2022-06-22 10:13:28
刘秀琼  整改  2022-06-26 08:47:06
 已整改
刘琴英  复检通过  2022-06-26 13:09:00
</t>
  </si>
  <si>
    <t xml:space="preserve">2022-06-26 08:47:21
</t>
  </si>
  <si>
    <t xml:space="preserve">2022-06-26 13:08:57
</t>
  </si>
  <si>
    <t xml:space="preserve"> 刘琴英  发现问题  2022-06-22 10:13:28
刘秀琼  整改  2022-06-26 08:47:21
 已整改
刘琴英  复检通过  2022-06-26 13:08:57
</t>
  </si>
  <si>
    <t>2022-06-22 10:12:16</t>
  </si>
  <si>
    <t xml:space="preserve">2022-06-26 08:47:41
</t>
  </si>
  <si>
    <t xml:space="preserve">2022-06-26 13:08:55
</t>
  </si>
  <si>
    <t xml:space="preserve"> 刘琴英  发现问题  2022-06-22 10:12:16
刘秀琼  整改  2022-06-26 08:47:41
 已整改
刘琴英  复检通过  2022-06-26 13:08:55
</t>
  </si>
  <si>
    <t xml:space="preserve">2022-06-26 08:47:55
</t>
  </si>
  <si>
    <t xml:space="preserve">2022-06-26 13:08:53
</t>
  </si>
  <si>
    <t xml:space="preserve"> 刘琴英  发现问题  2022-06-22 10:12:16
刘秀琼  整改  2022-06-26 08:47:55
 已整改
刘琴英  复检通过  2022-06-26 13:08:53
</t>
  </si>
  <si>
    <t xml:space="preserve">2022-06-26 08:48:13
</t>
  </si>
  <si>
    <t xml:space="preserve">2022-06-26 13:08:50
</t>
  </si>
  <si>
    <t xml:space="preserve"> 刘琴英  发现问题  2022-06-22 10:12:16
刘秀琼  整改  2022-06-26 08:48:13
 已整改
刘琴英  复检通过  2022-06-26 13:08:50
</t>
  </si>
  <si>
    <t>2022-06-18 06:49:27</t>
  </si>
  <si>
    <t xml:space="preserve">2022-06-25 11:49:08
</t>
  </si>
  <si>
    <t xml:space="preserve">2022-06-26 08:32:03
</t>
  </si>
  <si>
    <t xml:space="preserve"> 胡建梅  发现问题  2022-06-18 06:49:27
陈凤珍  整改  2022-06-25 11:49:08
胡建梅  复检通过  2022-06-26 08:32:03
 通过
</t>
  </si>
  <si>
    <t>环境卫生（2021通用）</t>
  </si>
  <si>
    <t>收银台整洁、干净无灰尘，收银台下方线路整齐</t>
  </si>
  <si>
    <t>待复检</t>
  </si>
  <si>
    <t>2022-06-22 15:36:21</t>
  </si>
  <si>
    <t xml:space="preserve">2022-06-23 15:02:22
</t>
  </si>
  <si>
    <t>王倩倩</t>
  </si>
  <si>
    <t xml:space="preserve"> 王倩倩  发现问题  2022-06-22 15:36:22
宋留艺  整改  2022-06-23 15:02:22
 已整改
</t>
  </si>
  <si>
    <t>慢病管理（2021）</t>
  </si>
  <si>
    <t>慢病是否会建档？是否明确建档任务</t>
  </si>
  <si>
    <t xml:space="preserve">2022-06-23 14:55:50
</t>
  </si>
  <si>
    <t xml:space="preserve"> 王倩倩  发现问题  2022-06-22 15:36:22
宋留艺  整改  2022-06-23 14:55:50
 立即整改
</t>
  </si>
  <si>
    <t>甜甜圈公益项目是否知晓？</t>
  </si>
  <si>
    <t xml:space="preserve">2022-06-23 14:55:28
</t>
  </si>
  <si>
    <t xml:space="preserve"> 王倩倩  发现问题  2022-06-22 15:36:22
宋留艺  整改  2022-06-23 14:55:28
 已整改
</t>
  </si>
  <si>
    <t>服务项目（2021通用）</t>
  </si>
  <si>
    <t>免费量血压、测血糖（任意一项），有显著标识提醒</t>
  </si>
  <si>
    <t>2022-06-22 17:22:00</t>
  </si>
  <si>
    <t xml:space="preserve">2022-06-23 14:20:15
</t>
  </si>
  <si>
    <t>施雪</t>
  </si>
  <si>
    <t xml:space="preserve"> 王倩倩  发现问题  2022-06-22 17:22:00
施雪  整改  2022-06-23 14:20:15
 已整改
</t>
  </si>
  <si>
    <t>现场管理（2021）</t>
  </si>
  <si>
    <t xml:space="preserve">2022-06-23 14:21:52
</t>
  </si>
  <si>
    <t xml:space="preserve"> 王倩倩  发现问题  2022-06-22 17:22:00
施雪  整改  2022-06-23 14:21:52
 已整改
</t>
  </si>
  <si>
    <t xml:space="preserve">2022-06-23 14:17:00
</t>
  </si>
  <si>
    <t xml:space="preserve"> 王倩倩  发现问题  2022-06-22 17:22:00
施雪  整改  2022-06-23 14:17:00
 已整改
</t>
  </si>
  <si>
    <t>门店清洁卫生极差，超过2个以上货架有“黑色”灰尘</t>
  </si>
  <si>
    <t>2022-06-22 10:20:37</t>
  </si>
  <si>
    <t xml:space="preserve">2022-06-25 14:40:45
</t>
  </si>
  <si>
    <t>吴洪瑶</t>
  </si>
  <si>
    <t xml:space="preserve"> 王倩倩  发现问题  2022-06-22 10:20:37
吴洪瑶  整改  2022-06-25 14:40:45
 已整改
</t>
  </si>
  <si>
    <t>货架、分类标识牌、商品干净无灰尘</t>
  </si>
  <si>
    <t xml:space="preserve">2022-06-25 14:39:04
</t>
  </si>
  <si>
    <t xml:space="preserve"> 王倩倩  发现问题  2022-06-22 10:20:37
吴洪瑶  整改  2022-06-25 14:39:04
 已整改
</t>
  </si>
  <si>
    <t xml:space="preserve">2022-06-25 14:31:12
</t>
  </si>
  <si>
    <t xml:space="preserve"> 王倩倩  发现问题  2022-06-22 10:20:37
吴洪瑶  整改  2022-06-25 14:31:12
 已整改
</t>
  </si>
  <si>
    <t>文件重要记录（2021）</t>
  </si>
  <si>
    <t>长短款是否每天登记、账实相符</t>
  </si>
  <si>
    <t xml:space="preserve">2022-06-25 14:28:07
</t>
  </si>
  <si>
    <t xml:space="preserve"> 王倩倩  发现问题  2022-06-22 10:20:37
吴洪瑶  整改  2022-06-25 14:28:07
 已整改
</t>
  </si>
  <si>
    <t>库存管理（2021）</t>
  </si>
  <si>
    <t>门店目前堆积最大品种是什么？</t>
  </si>
  <si>
    <t xml:space="preserve">2022-06-25 14:17:00
</t>
  </si>
  <si>
    <t xml:space="preserve"> 王倩倩  发现问题  2022-06-22 10:20:37
吴洪瑶  整改  2022-06-25 14:17:00
 已整改
</t>
  </si>
  <si>
    <t xml:space="preserve">2022-06-25 14:15:14
</t>
  </si>
  <si>
    <t xml:space="preserve"> 王倩倩  发现问题  2022-06-22 10:20:37
吴洪瑶  整改  2022-06-25 14:15:14
 已整改
</t>
  </si>
  <si>
    <t xml:space="preserve">2022-06-25 14:10:56
</t>
  </si>
  <si>
    <t xml:space="preserve"> 王倩倩  发现问题  2022-06-22 10:20:37
吴洪瑶  整改  2022-06-25 14:10:56
 已整改
</t>
  </si>
  <si>
    <t>商品质量及效期管理（2021）</t>
  </si>
  <si>
    <t>效期品种未进行分配的，门店未有登记的</t>
  </si>
  <si>
    <t xml:space="preserve">2022-06-23 15:01:37
</t>
  </si>
  <si>
    <t xml:space="preserve"> 王倩倩  发现问题  2022-06-22 15:36:21
宋留艺  整改  2022-06-23 15:01:37
 立即整改
</t>
  </si>
  <si>
    <t>是否存在物资物料严重过剩现象（含促销活动物资）</t>
  </si>
  <si>
    <t xml:space="preserve">2022-06-23 15:03:19
</t>
  </si>
  <si>
    <t xml:space="preserve"> 王倩倩  发现问题  2022-06-22 15:36:21
宋留艺  整改  2022-06-23 15:03:19
 已整改
</t>
  </si>
  <si>
    <t xml:space="preserve">2022-06-23 15:03:09
</t>
  </si>
  <si>
    <t xml:space="preserve"> 王倩倩  发现问题  2022-06-22 15:36:22
宋留艺  整改  2022-06-23 15:03:09
 已整改
</t>
  </si>
  <si>
    <t xml:space="preserve">2022-06-23 15:04:17
</t>
  </si>
  <si>
    <t xml:space="preserve"> 王倩倩  发现问题  2022-06-22 15:36:22
宋留艺  整改  2022-06-23 15:04:17
 已整改
</t>
  </si>
  <si>
    <t>新都兴乐北路店</t>
  </si>
  <si>
    <t>2022-06-08 21:22:33</t>
  </si>
  <si>
    <t>2022-06-08</t>
  </si>
  <si>
    <t>2022-06-11</t>
  </si>
  <si>
    <t xml:space="preserve">2022-06-25 12:04:28
</t>
  </si>
  <si>
    <t xml:space="preserve">2022-06-25 23:25:29
</t>
  </si>
  <si>
    <t>黄杨</t>
  </si>
  <si>
    <t>朱朝霞</t>
  </si>
  <si>
    <t xml:space="preserve"> 朱朝霞  发现问题  2022-06-08 21:22:33
黄杨  整改  2022-06-25 12:04:28
 已整改
朱朝霞  复检通过  2022-06-25 23:25:29
</t>
  </si>
  <si>
    <t>2022-06-08 21:19:01</t>
  </si>
  <si>
    <t xml:space="preserve">2022-06-25 12:05:05
</t>
  </si>
  <si>
    <t xml:space="preserve">2022-06-25 23:25:25
</t>
  </si>
  <si>
    <t xml:space="preserve"> 朱朝霞  发现问题  2022-06-08 21:19:01
黄杨  整改  2022-06-25 12:05:05
 已整改
朱朝霞  复检通过  2022-06-25 23:25:25
</t>
  </si>
  <si>
    <t xml:space="preserve">2022-06-25 12:05:34
</t>
  </si>
  <si>
    <t xml:space="preserve">2022-06-25 23:25:22
</t>
  </si>
  <si>
    <t xml:space="preserve"> 朱朝霞  发现问题  2022-06-08 21:19:01
黄杨  整改  2022-06-25 12:05:34
 已整改
朱朝霞  复检通过  2022-06-25 23:25:22
</t>
  </si>
  <si>
    <t xml:space="preserve">2022-06-25 12:05:53
</t>
  </si>
  <si>
    <t xml:space="preserve">2022-06-25 23:25:18
</t>
  </si>
  <si>
    <t xml:space="preserve"> 朱朝霞  发现问题  2022-06-08 21:19:01
黄杨  整改  2022-06-25 12:05:53
 已整改
朱朝霞  复检通过  2022-06-25 23:25:18
</t>
  </si>
  <si>
    <t>静沙南路店</t>
  </si>
  <si>
    <t>2022-06-21 16:52:56</t>
  </si>
  <si>
    <t>梅雅霜</t>
  </si>
  <si>
    <t xml:space="preserve"> 何巍  发现问题  2022-06-21 16:52:57
</t>
  </si>
  <si>
    <t>3.玻璃橱窗：无污渍、无印记，不得陈列厂家无执行单的物料</t>
  </si>
  <si>
    <t>专业服务细则（评四星）</t>
  </si>
  <si>
    <t>3.慢病建档服务：完成每月建档任务</t>
  </si>
  <si>
    <t xml:space="preserve"> 何巍  发现问题  2022-06-21 16:52:58
</t>
  </si>
  <si>
    <t>2022-06-18 06:48:30</t>
  </si>
  <si>
    <t xml:space="preserve">2022-06-22 13:02:02
</t>
  </si>
  <si>
    <t xml:space="preserve">2022-06-23 13:21:24
</t>
  </si>
  <si>
    <t xml:space="preserve"> 胡建梅  发现问题  2022-06-18 06:48:30
窦潘  整改  2022-06-22 13:02:02
胡建梅  复检通过  2022-06-23 13:21:24
 通过
</t>
  </si>
  <si>
    <t>2022-06-18 06:49:09</t>
  </si>
  <si>
    <t xml:space="preserve">2022-06-23 12:48:20
</t>
  </si>
  <si>
    <t xml:space="preserve">2022-06-23 13:21:15
</t>
  </si>
  <si>
    <t xml:space="preserve"> 胡建梅  发现问题  2022-06-18 06:49:09
李婷  整改  2022-06-23 12:48:20
胡建梅  复检通过  2022-06-23 13:21:15
 通过
</t>
  </si>
  <si>
    <t>2022-06-17 14:33:00</t>
  </si>
  <si>
    <t xml:space="preserve">2022-06-21 18:40:28
</t>
  </si>
  <si>
    <t xml:space="preserve">2022-06-22 10:40:25
</t>
  </si>
  <si>
    <t xml:space="preserve"> 苗凯  发现问题  2022-06-17 14:33:00
孙佳丽  整改  2022-06-21 18:40:28
 已整改
苗凯  复检通过  2022-06-22 10:40:25
</t>
  </si>
  <si>
    <t>2022-06-16 18:39:49</t>
  </si>
  <si>
    <t xml:space="preserve">2022-06-20 11:52:46
</t>
  </si>
  <si>
    <t xml:space="preserve">2022-06-22 10:19:03
</t>
  </si>
  <si>
    <t xml:space="preserve"> 刘琴英  发现问题  2022-06-16 18:39:49
李海燕  整改  2022-06-20 11:52:46
 已整改
刘琴英  复检通过  2022-06-22 10:19:03
</t>
  </si>
  <si>
    <t>2022-06-16 18:40:40</t>
  </si>
  <si>
    <t xml:space="preserve">2022-06-20 16:42:59
</t>
  </si>
  <si>
    <t xml:space="preserve">2022-06-22 10:18:31
</t>
  </si>
  <si>
    <t xml:space="preserve"> 刘琴英  发现问题  2022-06-16 18:40:40
万雪倩  整改  2022-06-20 16:42:59
刘琴英  复检通过  2022-06-22 10:18:31
</t>
  </si>
  <si>
    <t xml:space="preserve">2022-06-20 16:43:50
</t>
  </si>
  <si>
    <t xml:space="preserve">2022-06-22 10:18:28
</t>
  </si>
  <si>
    <t xml:space="preserve"> 刘琴英  发现问题  2022-06-16 18:40:40
万雪倩  整改  2022-06-20 16:43:50
刘琴英  复检通过  2022-06-22 10:18:28
</t>
  </si>
  <si>
    <t>2022-06-16 18:39:52</t>
  </si>
  <si>
    <t xml:space="preserve">2022-06-20 16:44:19
</t>
  </si>
  <si>
    <t xml:space="preserve">2022-06-22 10:18:25
</t>
  </si>
  <si>
    <t xml:space="preserve"> 刘琴英  发现问题  2022-06-16 18:39:52
万雪倩  整改  2022-06-20 16:44:19
刘琴英  复检通过  2022-06-22 10:18:25
</t>
  </si>
  <si>
    <t>2022-06-16 11:05:48</t>
  </si>
  <si>
    <t xml:space="preserve">2022-06-20 16:44:44
</t>
  </si>
  <si>
    <t xml:space="preserve">2022-06-22 10:18:23
</t>
  </si>
  <si>
    <t xml:space="preserve"> 刘琴英  发现问题  2022-06-16 11:05:48
万雪倩  整改  2022-06-20 16:44:44
刘琴英  复检通过  2022-06-22 10:18:23
</t>
  </si>
  <si>
    <t xml:space="preserve">2022-06-20 16:45:14
</t>
  </si>
  <si>
    <t xml:space="preserve">2022-06-22 10:18:17
</t>
  </si>
  <si>
    <t xml:space="preserve"> 刘琴英  发现问题  2022-06-16 11:05:48
万雪倩  整改  2022-06-20 16:45:14
刘琴英  复检通过  2022-06-22 10:18:17
</t>
  </si>
  <si>
    <t xml:space="preserve">2022-06-20 16:46:31
</t>
  </si>
  <si>
    <t xml:space="preserve">2022-06-22 10:18:15
</t>
  </si>
  <si>
    <t xml:space="preserve"> 刘琴英  发现问题  2022-06-16 11:05:48
万雪倩  整改  2022-06-20 16:46:31
刘琴英  复检通过  2022-06-22 10:18:15
</t>
  </si>
  <si>
    <t>2022-06-16 18:39:40</t>
  </si>
  <si>
    <t xml:space="preserve">2022-06-20 11:41:00
</t>
  </si>
  <si>
    <t xml:space="preserve">2022-06-22 10:18:07
</t>
  </si>
  <si>
    <t xml:space="preserve"> 刘琴英  发现问题  2022-06-16 18:39:40
吴湘燏  整改  2022-06-20 11:41:00
 已整改
刘琴英  复检通过  2022-06-22 10:18:07
</t>
  </si>
  <si>
    <t>2022-06-16 18:40:42</t>
  </si>
  <si>
    <t xml:space="preserve">2022-06-20 11:41:25
</t>
  </si>
  <si>
    <t xml:space="preserve">2022-06-22 10:18:05
</t>
  </si>
  <si>
    <t xml:space="preserve"> 刘琴英  发现问题  2022-06-16 18:40:43
吴湘燏  整改  2022-06-20 11:41:25
 已整改
刘琴英  复检通过  2022-06-22 10:18:05
</t>
  </si>
  <si>
    <t xml:space="preserve">2022-06-20 11:41:44
</t>
  </si>
  <si>
    <t xml:space="preserve">2022-06-22 10:17:59
</t>
  </si>
  <si>
    <t xml:space="preserve"> 刘琴英  发现问题  2022-06-16 18:40:43
吴湘燏  整改  2022-06-20 11:41:44
 已整改
刘琴英  复检通过  2022-06-22 10:17:59
</t>
  </si>
  <si>
    <t>2022-06-16 11:06:36</t>
  </si>
  <si>
    <t xml:space="preserve">2022-06-20 11:49:34
</t>
  </si>
  <si>
    <t xml:space="preserve">2022-06-22 10:17:57
</t>
  </si>
  <si>
    <t xml:space="preserve"> 刘琴英  发现问题  2022-06-16 11:06:36
李海燕  整改  2022-06-20 11:49:34
 已整改
刘琴英  复检通过  2022-06-22 10:17:57
</t>
  </si>
  <si>
    <t xml:space="preserve">2022-06-20 11:50:48
</t>
  </si>
  <si>
    <t xml:space="preserve">2022-06-22 10:17:55
</t>
  </si>
  <si>
    <t xml:space="preserve"> 刘琴英  发现问题  2022-06-16 11:06:36
李海燕  整改  2022-06-20 11:50:48
 已整改
刘琴英  复检通过  2022-06-22 10:17:55
</t>
  </si>
  <si>
    <t xml:space="preserve">2022-06-20 11:51:40
</t>
  </si>
  <si>
    <t xml:space="preserve">2022-06-22 10:17:52
</t>
  </si>
  <si>
    <t xml:space="preserve"> 刘琴英  发现问题  2022-06-16 11:06:36
李海燕  整改  2022-06-20 11:51:40
 已整改
刘琴英  复检通过  2022-06-22 10:17:52
</t>
  </si>
  <si>
    <t>2022-06-17 23:44:46</t>
  </si>
  <si>
    <t xml:space="preserve">2022-06-20 11:39:11
</t>
  </si>
  <si>
    <t xml:space="preserve">2022-06-22 10:17:42
</t>
  </si>
  <si>
    <t xml:space="preserve"> 刘琴英  发现问题  2022-06-17 23:44:46
吴湘燏  整改  2022-06-20 11:39:11
 已整改
刘琴英  复检通过  2022-06-22 10:17:42
</t>
  </si>
  <si>
    <t xml:space="preserve">2022-06-20 11:39:26
</t>
  </si>
  <si>
    <t xml:space="preserve">2022-06-22 10:17:40
</t>
  </si>
  <si>
    <t xml:space="preserve"> 刘琴英  发现问题  2022-06-17 23:44:46
吴湘燏  整改  2022-06-20 11:39:26
 已整改
刘琴英  复检通过  2022-06-22 10:17:40
</t>
  </si>
  <si>
    <t xml:space="preserve">2022-06-20 11:39:47
</t>
  </si>
  <si>
    <t xml:space="preserve">2022-06-22 10:17:37
</t>
  </si>
  <si>
    <t xml:space="preserve"> 刘琴英  发现问题  2022-06-17 23:44:46
吴湘燏  整改  2022-06-20 11:39:47
 已整改
刘琴英  复检通过  2022-06-22 10:17:37
</t>
  </si>
  <si>
    <t>2022-06-17 23:44:57</t>
  </si>
  <si>
    <t xml:space="preserve">2022-06-20 11:54:18
</t>
  </si>
  <si>
    <t xml:space="preserve">2022-06-22 10:17:35
</t>
  </si>
  <si>
    <t xml:space="preserve"> 刘琴英  发现问题  2022-06-17 23:44:57
李海燕  整改  2022-06-20 11:54:18
 已整改
刘琴英  复检通过  2022-06-22 10:17:35
</t>
  </si>
  <si>
    <t xml:space="preserve">2022-06-20 11:54:52
</t>
  </si>
  <si>
    <t xml:space="preserve">2022-06-22 10:17:32
</t>
  </si>
  <si>
    <t xml:space="preserve"> 刘琴英  发现问题  2022-06-17 23:44:57
李海燕  整改  2022-06-20 11:54:52
 已整改
刘琴英  复检通过  2022-06-22 10:17:32
</t>
  </si>
  <si>
    <t xml:space="preserve">2022-06-20 11:56:00
</t>
  </si>
  <si>
    <t xml:space="preserve">2022-06-22 10:17:29
</t>
  </si>
  <si>
    <t xml:space="preserve"> 刘琴英  发现问题  2022-06-17 23:44:57
李海燕  整改  2022-06-20 11:56:00
 已整改
刘琴英  复检通过  2022-06-22 10:17:29
</t>
  </si>
  <si>
    <t>2022-06-17 23:45:03</t>
  </si>
  <si>
    <t xml:space="preserve">2022-06-20 17:23:30
</t>
  </si>
  <si>
    <t xml:space="preserve">2022-06-22 10:17:26
</t>
  </si>
  <si>
    <t xml:space="preserve"> 刘琴英  发现问题  2022-06-17 23:45:03
万雪倩  整改  2022-06-20 17:23:30
刘琴英  复检通过  2022-06-22 10:17:26
</t>
  </si>
  <si>
    <t xml:space="preserve">2022-06-20 17:23:08
</t>
  </si>
  <si>
    <t xml:space="preserve">2022-06-22 10:17:24
</t>
  </si>
  <si>
    <t xml:space="preserve"> 刘琴英  发现问题  2022-06-17 23:45:03
万雪倩  整改  2022-06-20 17:23:08
刘琴英  复检通过  2022-06-22 10:17:24
</t>
  </si>
  <si>
    <t xml:space="preserve">2022-06-20 17:22:46
</t>
  </si>
  <si>
    <t xml:space="preserve">2022-06-22 10:17:21
</t>
  </si>
  <si>
    <t xml:space="preserve"> 刘琴英  发现问题  2022-06-17 23:45:03
万雪倩  整改  2022-06-20 17:22:46
刘琴英  复检通过  2022-06-22 10:17:21
</t>
  </si>
  <si>
    <t>13.冷柜：温湿度记录规范、及时；冷柜商品陈列整洁；不得存放与经营活动无关的物品及私人用品</t>
  </si>
  <si>
    <t>2022-06-18 16:47:48</t>
  </si>
  <si>
    <t xml:space="preserve">2022-06-20 11:50:19
</t>
  </si>
  <si>
    <t xml:space="preserve">2022-06-22 10:17:16
</t>
  </si>
  <si>
    <t xml:space="preserve"> 刘琴英  发现问题  2022-06-18 16:47:49
刘洋  整改  2022-06-20 11:50:19
刘琴英  复检通过  2022-06-22 10:17:16
</t>
  </si>
  <si>
    <t>7.中药区地面干净，无垃圾，操作台面干净无尘</t>
  </si>
  <si>
    <t xml:space="preserve">2022-06-20 11:49:39
</t>
  </si>
  <si>
    <t xml:space="preserve">2022-06-22 10:17:13
</t>
  </si>
  <si>
    <t xml:space="preserve"> 刘琴英  发现问题  2022-06-18 16:47:49
刘洋  整改  2022-06-20 11:49:39
刘琴英  复检通过  2022-06-22 10:17:13
</t>
  </si>
  <si>
    <t>10.休息间：私人物品，放在统一固定位置；无纸板、杂物堆积</t>
  </si>
  <si>
    <t xml:space="preserve">2022-06-20 11:48:04
</t>
  </si>
  <si>
    <t xml:space="preserve">2022-06-22 10:17:03
</t>
  </si>
  <si>
    <t xml:space="preserve"> 刘琴英  发现问题  2022-06-18 16:47:49
刘洋  整改  2022-06-20 11:48:04
刘琴英  复检通过  2022-06-22 10:17:03
</t>
  </si>
  <si>
    <t>2.橱窗、店内吊旗、爆炸花、POP、海报、插卡等宣传物料齐全无缺失，无破损、开胶、卷边、褪色，无过期内容</t>
  </si>
  <si>
    <t xml:space="preserve">2022-06-20 11:47:29
</t>
  </si>
  <si>
    <t xml:space="preserve">2022-06-22 10:16:38
</t>
  </si>
  <si>
    <t xml:space="preserve"> 刘琴英  发现问题  2022-06-18 16:47:49
刘洋  整改  2022-06-20 11:47:29
刘琴英  复检通过  2022-06-22 10:16:38
</t>
  </si>
  <si>
    <t xml:space="preserve">2022-06-20 11:58:03
</t>
  </si>
  <si>
    <t xml:space="preserve">2022-06-22 10:16:12
</t>
  </si>
  <si>
    <t xml:space="preserve"> 刘琴英  发现问题  2022-06-18 16:47:49
刘洋  整改  2022-06-20 11:58:03
刘琴英  复检通过  2022-06-22 10:16:12
</t>
  </si>
  <si>
    <t>11.阴凉柜：无空位、价签无缺失、分类正确、陈列整洁</t>
  </si>
  <si>
    <t xml:space="preserve">2022-06-20 11:46:47
</t>
  </si>
  <si>
    <t xml:space="preserve">2022-06-22 10:16:09
</t>
  </si>
  <si>
    <t xml:space="preserve"> 刘琴英  发现问题  2022-06-18 16:47:49
刘洋  整改  2022-06-20 11:46:47
刘琴英  复检通过  2022-06-22 10:16:09
</t>
  </si>
  <si>
    <t>1.用药温馨提示：药盒贴签，提示用法用量，门店电话盖章</t>
  </si>
  <si>
    <t xml:space="preserve">2022-06-20 11:37:48
</t>
  </si>
  <si>
    <t xml:space="preserve">2022-06-22 10:16:06
</t>
  </si>
  <si>
    <t xml:space="preserve"> 刘琴英  发现问题  2022-06-18 16:47:49
刘洋  整改  2022-06-20 11:37:48
刘琴英  复检通过  2022-06-22 10:16:06
</t>
  </si>
  <si>
    <t>2022-06-15 15:50:32</t>
  </si>
  <si>
    <t>2022-06-15</t>
  </si>
  <si>
    <t xml:space="preserve">2022-06-18 12:16:53
</t>
  </si>
  <si>
    <t xml:space="preserve">2022-06-22 09:03:58
</t>
  </si>
  <si>
    <t>舒海燕</t>
  </si>
  <si>
    <t xml:space="preserve"> 王倩倩  发现问题  2022-06-15 15:50:32
舒海燕  整改  2022-06-18 12:16:53
 已经报谢师傅处理
王倩倩  复检通过  2022-06-22 09:03:58
 通过
</t>
  </si>
  <si>
    <t xml:space="preserve">2022-06-18 12:19:48
</t>
  </si>
  <si>
    <t xml:space="preserve">2022-06-22 09:03:51
</t>
  </si>
  <si>
    <t xml:space="preserve"> 王倩倩  发现问题  2022-06-15 15:50:32
舒海燕  整改  2022-06-18 12:19:48
 已经整改
王倩倩  复检通过  2022-06-22 09:03:51
 通过
</t>
  </si>
  <si>
    <t>佰策使用（2021）</t>
  </si>
  <si>
    <t>本门店消费占比、笔数占比任务、每个人会员发展任务</t>
  </si>
  <si>
    <t xml:space="preserve">2022-06-18 15:17:06
</t>
  </si>
  <si>
    <t xml:space="preserve">2022-06-22 09:03:44
</t>
  </si>
  <si>
    <t xml:space="preserve"> 王倩倩  发现问题  2022-06-15 15:50:32
舒海燕  整改  2022-06-18 15:17:06
 已经整改
王倩倩  复检通过  2022-06-22 09:03:44
 通过
</t>
  </si>
  <si>
    <t xml:space="preserve">2022-06-18 15:20:09
</t>
  </si>
  <si>
    <t xml:space="preserve">2022-06-22 09:03:37
</t>
  </si>
  <si>
    <t xml:space="preserve"> 王倩倩  发现问题  2022-06-15 15:50:32
舒海燕  整改  2022-06-18 15:20:09
 已经整改
王倩倩  复检通过  2022-06-22 09:03:37
 通过
</t>
  </si>
  <si>
    <t>新都医贸大道店</t>
  </si>
  <si>
    <t>2022-06-08 21:22:25</t>
  </si>
  <si>
    <t xml:space="preserve">2022-06-20 11:01:44
</t>
  </si>
  <si>
    <t xml:space="preserve">2022-06-21 08:23:37
</t>
  </si>
  <si>
    <t>唐倩</t>
  </si>
  <si>
    <t xml:space="preserve"> 朱朝霞  发现问题  2022-06-08 21:22:25
唐倩  整改  2022-06-20 11:01:44
朱朝霞  复检通过  2022-06-21 08:23:37
</t>
  </si>
  <si>
    <t xml:space="preserve">2022-06-20 11:01:50
</t>
  </si>
  <si>
    <t xml:space="preserve">2022-06-21 08:23:34
</t>
  </si>
  <si>
    <t xml:space="preserve"> 朱朝霞  发现问题  2022-06-08 21:22:25
唐倩  整改  2022-06-20 11:01:50
朱朝霞  复检通过  2022-06-21 08:23:34
</t>
  </si>
  <si>
    <t>2022-06-08 21:32:15</t>
  </si>
  <si>
    <t xml:space="preserve">2022-06-20 11:01:55
</t>
  </si>
  <si>
    <t xml:space="preserve">2022-06-21 08:23:31
</t>
  </si>
  <si>
    <t xml:space="preserve"> 朱朝霞  发现问题  2022-06-08 21:32:15
唐倩  整改  2022-06-20 11:01:55
朱朝霞  复检通过  2022-06-21 08:23:31
</t>
  </si>
  <si>
    <t>2022-06-08 21:32:26</t>
  </si>
  <si>
    <t xml:space="preserve">2022-06-20 11:25:09
</t>
  </si>
  <si>
    <t xml:space="preserve">2022-06-21 08:23:28
</t>
  </si>
  <si>
    <t xml:space="preserve"> 朱朝霞  发现问题  2022-06-08 21:32:27
黄杨  整改  2022-06-20 11:25:09
 已整改
朱朝霞  复检通过  2022-06-21 08:23:28
</t>
  </si>
  <si>
    <t xml:space="preserve">2022-06-20 11:25:32
</t>
  </si>
  <si>
    <t xml:space="preserve">2022-06-21 08:23:24
</t>
  </si>
  <si>
    <t xml:space="preserve"> 朱朝霞  发现问题  2022-06-08 21:32:27
黄杨  整改  2022-06-20 11:25:32
 已整改
朱朝霞  复检通过  2022-06-21 08:23:24
</t>
  </si>
  <si>
    <t xml:space="preserve">2022-06-20 11:26:22
</t>
  </si>
  <si>
    <t xml:space="preserve">2022-06-21 08:23:21
</t>
  </si>
  <si>
    <t xml:space="preserve"> 朱朝霞  发现问题  2022-06-08 21:32:27
黄杨  整改  2022-06-20 11:26:22
 已整改
朱朝霞  复检通过  2022-06-21 08:23:21
</t>
  </si>
  <si>
    <t>2022-06-08 21:30:38</t>
  </si>
  <si>
    <t xml:space="preserve">2022-06-20 11:27:37
</t>
  </si>
  <si>
    <t xml:space="preserve">2022-06-21 08:23:18
</t>
  </si>
  <si>
    <t xml:space="preserve"> 朱朝霞  发现问题  2022-06-08 21:30:38
黄杨  整改  2022-06-20 11:27:37
 已整改
朱朝霞  复检通过  2022-06-21 08:23:18
</t>
  </si>
  <si>
    <t xml:space="preserve">2022-06-20 11:29:30
</t>
  </si>
  <si>
    <t xml:space="preserve">2022-06-21 08:23:15
</t>
  </si>
  <si>
    <t xml:space="preserve"> 朱朝霞  发现问题  2022-06-08 21:22:33
黄杨  整改  2022-06-20 11:29:30
 已整改
朱朝霞  复检通过  2022-06-21 08:23:15
</t>
  </si>
  <si>
    <t>2022-06-15 21:45:45</t>
  </si>
  <si>
    <t xml:space="preserve">2022-06-17 15:54:52
</t>
  </si>
  <si>
    <t xml:space="preserve">2022-06-20 21:02:47
</t>
  </si>
  <si>
    <t>汪梦雨</t>
  </si>
  <si>
    <t xml:space="preserve"> 任会茹  发现问题  2022-06-15 21:45:45
汪梦雨  整改  2022-06-17 15:54:52
任会茹  复检通过  2022-06-20 21:02:47
</t>
  </si>
  <si>
    <t xml:space="preserve">2022-06-17 15:53:20
</t>
  </si>
  <si>
    <t xml:space="preserve">2022-06-20 21:02:44
</t>
  </si>
  <si>
    <t xml:space="preserve"> 任会茹  发现问题  2022-06-15 21:45:45
汪梦雨  整改  2022-06-17 15:53:20
任会茹  复检通过  2022-06-20 21:02:44
</t>
  </si>
  <si>
    <t>2022-06-15 11:19:22</t>
  </si>
  <si>
    <t xml:space="preserve">2022-06-20 10:02:59
</t>
  </si>
  <si>
    <t xml:space="preserve">2022-06-20 11:04:29
</t>
  </si>
  <si>
    <t xml:space="preserve"> 刘琴英  发现问题  2022-06-15 11:19:22
廖艳萍  整改  2022-06-20 10:02:59
刘琴英  复检通过  2022-06-20 11:04:29
</t>
  </si>
  <si>
    <t xml:space="preserve">2022-06-20 10:03:12
</t>
  </si>
  <si>
    <t xml:space="preserve">2022-06-20 11:04:26
</t>
  </si>
  <si>
    <t xml:space="preserve"> 刘琴英  发现问题  2022-06-15 11:19:22
廖艳萍  整改  2022-06-20 10:03:12
刘琴英  复检通过  2022-06-20 11:04:26
</t>
  </si>
  <si>
    <t>2022-06-15 11:19:34</t>
  </si>
  <si>
    <t xml:space="preserve">2022-06-19 13:33:28
</t>
  </si>
  <si>
    <t xml:space="preserve">2022-06-19 23:25:31
</t>
  </si>
  <si>
    <t xml:space="preserve"> 刘琴英  发现问题  2022-06-15 11:19:34
李梦菊  整改  2022-06-19 13:33:28
 已整改
刘琴英  复检通过  2022-06-19 23:25:31
</t>
  </si>
  <si>
    <t xml:space="preserve">2022-06-19 13:33:38
</t>
  </si>
  <si>
    <t xml:space="preserve">2022-06-19 23:25:28
</t>
  </si>
  <si>
    <t xml:space="preserve"> 刘琴英  发现问题  2022-06-15 11:19:34
李梦菊  整改  2022-06-19 13:33:38
 已整改
刘琴英  复检通过  2022-06-19 23:25:28
</t>
  </si>
  <si>
    <t>2022-06-15 21:45:18</t>
  </si>
  <si>
    <t xml:space="preserve"> 任会茹  发现问题  2022-06-15 21:45:18
</t>
  </si>
  <si>
    <t>2022-06-15 21:45:33</t>
  </si>
  <si>
    <t xml:space="preserve"> 任会茹  发现问题  2022-06-15 21:45:33
</t>
  </si>
  <si>
    <t>2022-06-08 21:05:47</t>
  </si>
  <si>
    <t xml:space="preserve">2022-06-17 19:18:42
</t>
  </si>
  <si>
    <t xml:space="preserve">2022-06-18 13:40:19
</t>
  </si>
  <si>
    <t xml:space="preserve"> 朱朝霞  发现问题  2022-06-08 21:05:47
唐倩  整改  2022-06-17 19:18:42
朱朝霞  复检通过  2022-06-18 13:40:19
</t>
  </si>
  <si>
    <t xml:space="preserve">2022-06-17 19:19:03
</t>
  </si>
  <si>
    <t xml:space="preserve">2022-06-18 13:40:12
</t>
  </si>
  <si>
    <t xml:space="preserve"> 朱朝霞  发现问题  2022-06-08 21:05:47
唐倩  整改  2022-06-17 19:19:03
朱朝霞  复检通过  2022-06-18 13:40:12
</t>
  </si>
  <si>
    <t xml:space="preserve">2022-06-17 19:19:15
</t>
  </si>
  <si>
    <t xml:space="preserve">2022-06-18 13:39:48
</t>
  </si>
  <si>
    <t xml:space="preserve"> 朱朝霞  发现问题  2022-06-08 21:05:47
唐倩  整改  2022-06-17 19:19:15
朱朝霞  复检通过  2022-06-18 13:39:48
</t>
  </si>
  <si>
    <t>2022-06-08 21:29:45</t>
  </si>
  <si>
    <t xml:space="preserve">2022-06-17 19:20:21
</t>
  </si>
  <si>
    <t xml:space="preserve">2022-06-18 13:39:45
</t>
  </si>
  <si>
    <t xml:space="preserve"> 朱朝霞  发现问题  2022-06-08 21:29:45
唐倩  整改  2022-06-17 19:20:21
朱朝霞  复检通过  2022-06-18 13:39:45
</t>
  </si>
  <si>
    <t>2022-06-08 21:25:33</t>
  </si>
  <si>
    <t xml:space="preserve">2022-06-17 19:21:16
</t>
  </si>
  <si>
    <t xml:space="preserve">2022-06-18 13:39:36
</t>
  </si>
  <si>
    <t xml:space="preserve"> 朱朝霞  发现问题  2022-06-08 21:25:33
唐倩  整改  2022-06-17 19:21:16
朱朝霞  复检通过  2022-06-18 13:39:36
</t>
  </si>
  <si>
    <t xml:space="preserve">2022-06-17 19:21:30
</t>
  </si>
  <si>
    <t xml:space="preserve">2022-06-18 13:39:31
</t>
  </si>
  <si>
    <t xml:space="preserve"> 朱朝霞  发现问题  2022-06-08 21:32:15
唐倩  整改  2022-06-17 19:21:30
 无灯牌
朱朝霞  复检通过  2022-06-18 13:39:31
</t>
  </si>
  <si>
    <t xml:space="preserve">2022-06-17 19:21:56
</t>
  </si>
  <si>
    <t xml:space="preserve">2022-06-18 13:39:26
</t>
  </si>
  <si>
    <t xml:space="preserve"> 朱朝霞  发现问题  2022-06-08 21:32:15
唐倩  整改  2022-06-17 19:21:56
朱朝霞  复检通过  2022-06-18 13:39:26
</t>
  </si>
  <si>
    <t>2022-06-12 16:57:24</t>
  </si>
  <si>
    <t>2022-06-12</t>
  </si>
  <si>
    <t xml:space="preserve">2022-06-15 14:05:04
</t>
  </si>
  <si>
    <t xml:space="preserve">2022-06-17 14:37:43
</t>
  </si>
  <si>
    <t>吴阳</t>
  </si>
  <si>
    <t xml:space="preserve"> 苗凯  发现问题  2022-06-12 16:57:24
吴阳  整改  2022-06-15 14:05:04
 已整改
苗凯  复检通过  2022-06-17 14:37:43
</t>
  </si>
  <si>
    <t>2022-06-12 16:57:48</t>
  </si>
  <si>
    <t xml:space="preserve">2022-06-15 14:05:10
</t>
  </si>
  <si>
    <t xml:space="preserve">2022-06-17 14:37:40
</t>
  </si>
  <si>
    <t xml:space="preserve"> 苗凯  发现问题  2022-06-12 16:57:48
吴阳  整改  2022-06-15 14:05:10
 已整改
苗凯  复检通过  2022-06-17 14:37:40
</t>
  </si>
  <si>
    <t>2022-06-12 17:41:28</t>
  </si>
  <si>
    <t xml:space="preserve">2022-06-15 10:02:03
</t>
  </si>
  <si>
    <t xml:space="preserve">2022-06-17 14:37:37
</t>
  </si>
  <si>
    <t xml:space="preserve"> 苗凯  发现问题  2022-06-12 17:41:28
孙佳丽  整改  2022-06-15 10:02:03
 已整改
苗凯  复检通过  2022-06-17 14:37:37
</t>
  </si>
  <si>
    <t>西部店</t>
  </si>
  <si>
    <t>2022-06-08 21:25:55</t>
  </si>
  <si>
    <t xml:space="preserve">2022-06-15 16:26:39
</t>
  </si>
  <si>
    <t xml:space="preserve">2022-06-15 23:58:47
</t>
  </si>
  <si>
    <t>杨素芬</t>
  </si>
  <si>
    <t xml:space="preserve"> 朱朝霞  发现问题  2022-06-08 21:25:55
杨素芬  整改  2022-06-15 16:26:39
朱朝霞  复检通过  2022-06-15 23:58:47
</t>
  </si>
  <si>
    <t>2022-06-08 21:22:50</t>
  </si>
  <si>
    <t xml:space="preserve">2022-06-15 16:26:58
</t>
  </si>
  <si>
    <t xml:space="preserve">2022-06-15 23:58:43
</t>
  </si>
  <si>
    <t xml:space="preserve"> 朱朝霞  发现问题  2022-06-08 21:22:50
杨素芬  整改  2022-06-15 16:26:58
朱朝霞  复检通过  2022-06-15 23:58:43
</t>
  </si>
  <si>
    <t xml:space="preserve">2022-06-15 16:27:20
</t>
  </si>
  <si>
    <t xml:space="preserve">2022-06-15 23:58:40
</t>
  </si>
  <si>
    <t xml:space="preserve"> 朱朝霞  发现问题  2022-06-08 21:22:50
杨素芬  整改  2022-06-15 16:27:20
朱朝霞  复检通过  2022-06-15 23:58:40
</t>
  </si>
  <si>
    <t>2022-06-08 21:19:21</t>
  </si>
  <si>
    <t xml:space="preserve">2022-06-15 16:28:00
</t>
  </si>
  <si>
    <t xml:space="preserve">2022-06-15 23:58:37
</t>
  </si>
  <si>
    <t xml:space="preserve"> 朱朝霞  发现问题  2022-06-08 21:19:22
杨素芬  整改  2022-06-15 16:28:00
朱朝霞  复检通过  2022-06-15 23:58:37
</t>
  </si>
  <si>
    <t xml:space="preserve">2022-06-15 16:28:34
</t>
  </si>
  <si>
    <t xml:space="preserve">2022-06-15 23:58:34
</t>
  </si>
  <si>
    <t xml:space="preserve"> 朱朝霞  发现问题  2022-06-08 21:19:22
杨素芬  整改  2022-06-15 16:28:34
朱朝霞  复检通过  2022-06-15 23:58:34
</t>
  </si>
  <si>
    <t xml:space="preserve">2022-06-15 16:32:55
</t>
  </si>
  <si>
    <t xml:space="preserve">2022-06-15 23:58:31
</t>
  </si>
  <si>
    <t xml:space="preserve"> 朱朝霞  发现问题  2022-06-08 21:19:21
杨素芬  整改  2022-06-15 16:32:55
朱朝霞  复检通过  2022-06-15 23:58:31
</t>
  </si>
  <si>
    <t>2022-06-08 21:31:06</t>
  </si>
  <si>
    <t xml:space="preserve">2022-06-15 16:25:45
</t>
  </si>
  <si>
    <t xml:space="preserve">2022-06-15 19:08:05
</t>
  </si>
  <si>
    <t xml:space="preserve"> 朱朝霞  发现问题  2022-06-08 21:31:06
杨素芬  整改  2022-06-15 16:25:45
朱朝霞  复检通过  2022-06-15 19:08:05
</t>
  </si>
  <si>
    <t>新都繁江北路药店</t>
  </si>
  <si>
    <t>2022-06-08 21:30:52</t>
  </si>
  <si>
    <t xml:space="preserve">2022-06-15 08:58:36
</t>
  </si>
  <si>
    <t xml:space="preserve">2022-06-15 16:16:02
</t>
  </si>
  <si>
    <t>黄雨</t>
  </si>
  <si>
    <t xml:space="preserve"> 朱朝霞  发现问题  2022-06-08 21:30:52
黄雨  整改  2022-06-15 08:58:36
朱朝霞  复检通过  2022-06-15 16:16:02
</t>
  </si>
  <si>
    <t>2022-06-08 21:25:48</t>
  </si>
  <si>
    <t xml:space="preserve">2022-06-15 08:58:54
</t>
  </si>
  <si>
    <t xml:space="preserve">2022-06-15 16:15:58
</t>
  </si>
  <si>
    <t xml:space="preserve"> 朱朝霞  发现问题  2022-06-08 21:25:48
黄雨  整改  2022-06-15 08:58:54
朱朝霞  复检通过  2022-06-15 16:15:58
</t>
  </si>
  <si>
    <t>2022-06-08 21:22:41</t>
  </si>
  <si>
    <t xml:space="preserve">2022-06-15 08:59:17
</t>
  </si>
  <si>
    <t xml:space="preserve">2022-06-15 16:15:54
</t>
  </si>
  <si>
    <t xml:space="preserve"> 朱朝霞  发现问题  2022-06-08 21:22:41
黄雨  整改  2022-06-15 08:59:17
朱朝霞  复检通过  2022-06-15 16:15:54
</t>
  </si>
  <si>
    <t xml:space="preserve">2022-06-15 08:59:33
</t>
  </si>
  <si>
    <t xml:space="preserve">2022-06-15 16:15:50
</t>
  </si>
  <si>
    <t xml:space="preserve"> 朱朝霞  发现问题  2022-06-08 21:22:41
黄雨  整改  2022-06-15 08:59:33
朱朝霞  复检通过  2022-06-15 16:15:50
</t>
  </si>
  <si>
    <t>2022-06-08 21:19:13</t>
  </si>
  <si>
    <t xml:space="preserve">2022-06-15 09:00:07
</t>
  </si>
  <si>
    <t xml:space="preserve">2022-06-15 16:15:47
</t>
  </si>
  <si>
    <t xml:space="preserve"> 朱朝霞  发现问题  2022-06-08 21:19:13
黄雨  整改  2022-06-15 09:00:07
朱朝霞  复检通过  2022-06-15 16:15:47
</t>
  </si>
  <si>
    <t xml:space="preserve">2022-06-15 09:00:23
</t>
  </si>
  <si>
    <t xml:space="preserve">2022-06-15 16:15:44
</t>
  </si>
  <si>
    <t xml:space="preserve"> 朱朝霞  发现问题  2022-06-08 21:19:13
黄雨  整改  2022-06-15 09:00:23
朱朝霞  复检通过  2022-06-15 16:15:44
</t>
  </si>
  <si>
    <t xml:space="preserve">2022-06-15 09:00:33
</t>
  </si>
  <si>
    <t xml:space="preserve">2022-06-15 16:15:40
</t>
  </si>
  <si>
    <t xml:space="preserve"> 朱朝霞  发现问题  2022-06-08 21:19:13
黄雨  整改  2022-06-15 09:00:33
朱朝霞  复检通过  2022-06-15 16:15:40
</t>
  </si>
  <si>
    <t>2022-06-08 21:25:40</t>
  </si>
  <si>
    <t xml:space="preserve">2022-06-15 09:26:24
</t>
  </si>
  <si>
    <t xml:space="preserve">2022-06-15 16:15:36
</t>
  </si>
  <si>
    <t xml:space="preserve"> 朱朝霞  发现问题  2022-06-08 21:25:40
黄杨  整改  2022-06-15 09:26:24
 已整改
朱朝霞  复检通过  2022-06-15 16:15:36
</t>
  </si>
  <si>
    <t>新乐中街药店</t>
  </si>
  <si>
    <t>2022-06-08 11:45:15</t>
  </si>
  <si>
    <t xml:space="preserve">2022-06-15 13:24:13
</t>
  </si>
  <si>
    <t xml:space="preserve">2022-06-15 15:42:49
</t>
  </si>
  <si>
    <t>任远芳</t>
  </si>
  <si>
    <t>曾蕾蕾</t>
  </si>
  <si>
    <t xml:space="preserve"> 曾蕾蕾  发现问题  2022-06-08 11:45:15
任远芳  整改  2022-06-15 13:24:13
曾蕾蕾  复检通过  2022-06-15 15:42:49
</t>
  </si>
  <si>
    <t xml:space="preserve">2022-06-15 13:24:18
</t>
  </si>
  <si>
    <t xml:space="preserve">2022-06-15 15:42:46
</t>
  </si>
  <si>
    <t xml:space="preserve"> 曾蕾蕾  发现问题  2022-06-08 11:45:15
任远芳  整改  2022-06-15 13:24:18
曾蕾蕾  复检通过  2022-06-15 15:42:46
</t>
  </si>
  <si>
    <t xml:space="preserve">2022-06-15 13:24:22
</t>
  </si>
  <si>
    <t xml:space="preserve">2022-06-15 15:42:42
</t>
  </si>
  <si>
    <t xml:space="preserve"> 曾蕾蕾  发现问题  2022-06-08 11:45:15
任远芳  整改  2022-06-15 13:24:22
曾蕾蕾  复检通过  2022-06-15 15:42:42
</t>
  </si>
  <si>
    <t>青龙街店</t>
  </si>
  <si>
    <t>周六：橱窗pop陈列，有无无破损、变色、无执行单宣传的张贴。店外氛围：收纳篮陈列应季品种，丰满无空缺，配活动爆炸卡。</t>
  </si>
  <si>
    <t>2022-06-06 08:07:55</t>
  </si>
  <si>
    <t>2022-06-06</t>
  </si>
  <si>
    <t>2022-06-09</t>
  </si>
  <si>
    <t xml:space="preserve">2022-06-14 11:55:15
</t>
  </si>
  <si>
    <t xml:space="preserve">2022-06-14 15:10:57
</t>
  </si>
  <si>
    <t>高文棋</t>
  </si>
  <si>
    <t xml:space="preserve"> 何巍  发现问题  2022-06-06 08:07:55
高文棋  整改  2022-06-14 11:55:15
何巍  复检通过  2022-06-14 15:10:57
</t>
  </si>
  <si>
    <t>2022-06-10 17:28:31</t>
  </si>
  <si>
    <t>2022-06-10</t>
  </si>
  <si>
    <t>2022-06-13</t>
  </si>
  <si>
    <t xml:space="preserve">2022-06-13 21:10:04
</t>
  </si>
  <si>
    <t xml:space="preserve">2022-06-14 09:34:16
</t>
  </si>
  <si>
    <t xml:space="preserve"> 苗凯  发现问题  2022-06-10 17:28:32
韩启敏  整改  2022-06-13 21:10:04
苗凯  复检通过  2022-06-14 09:34:16
</t>
  </si>
  <si>
    <t xml:space="preserve">2022-06-13 21:09:42
</t>
  </si>
  <si>
    <t xml:space="preserve">2022-06-14 09:34:13
</t>
  </si>
  <si>
    <t xml:space="preserve"> 苗凯  发现问题  2022-06-10 17:28:32
韩启敏  整改  2022-06-13 21:09:42
苗凯  复检通过  2022-06-14 09:34:13
</t>
  </si>
  <si>
    <t xml:space="preserve">2022-06-13 21:09:27
</t>
  </si>
  <si>
    <t xml:space="preserve">2022-06-14 09:34:10
</t>
  </si>
  <si>
    <t xml:space="preserve"> 苗凯  发现问题  2022-06-10 17:28:32
韩启敏  整改  2022-06-13 21:09:27
苗凯  复检通过  2022-06-14 09:34:10
</t>
  </si>
  <si>
    <t>2022-06-10 17:29:46</t>
  </si>
  <si>
    <t xml:space="preserve">2022-06-13 21:09:16
</t>
  </si>
  <si>
    <t xml:space="preserve">2022-06-14 09:34:05
</t>
  </si>
  <si>
    <t xml:space="preserve"> 苗凯  发现问题  2022-06-10 17:29:46
韩启敏  整改  2022-06-13 21:09:16
苗凯  复检通过  2022-06-14 09:34:05
</t>
  </si>
  <si>
    <t>2022-06-10 18:01:14</t>
  </si>
  <si>
    <t xml:space="preserve">2022-06-13 21:09:02
</t>
  </si>
  <si>
    <t xml:space="preserve">2022-06-14 09:34:02
</t>
  </si>
  <si>
    <t xml:space="preserve"> 苗凯  发现问题  2022-06-10 18:01:14
韩启敏  整改  2022-06-13 21:09:02
苗凯  复检通过  2022-06-14 09:34:02
</t>
  </si>
  <si>
    <t xml:space="preserve">2022-06-13 21:08:45
</t>
  </si>
  <si>
    <t xml:space="preserve">2022-06-14 09:33:59
</t>
  </si>
  <si>
    <t xml:space="preserve"> 苗凯  发现问题  2022-06-10 18:01:14
韩启敏  整改  2022-06-13 21:08:45
苗凯  复检通过  2022-06-14 09:33:59
</t>
  </si>
  <si>
    <t>2022-06-10 18:02:38</t>
  </si>
  <si>
    <t xml:space="preserve">2022-06-13 21:12:29
</t>
  </si>
  <si>
    <t xml:space="preserve">2022-06-14 09:33:56
</t>
  </si>
  <si>
    <t xml:space="preserve"> 苗凯  发现问题  2022-06-10 18:02:38
韩启敏  整改  2022-06-13 21:12:29
苗凯  复检通过  2022-06-14 09:33:56
</t>
  </si>
  <si>
    <t xml:space="preserve">2022-06-13 21:12:18
</t>
  </si>
  <si>
    <t xml:space="preserve">2022-06-14 09:33:53
</t>
  </si>
  <si>
    <t xml:space="preserve"> 苗凯  发现问题  2022-06-10 18:02:38
韩启敏  整改  2022-06-13 21:12:18
苗凯  复检通过  2022-06-14 09:33:53
</t>
  </si>
  <si>
    <t>2022-06-10 18:02:40</t>
  </si>
  <si>
    <t xml:space="preserve">2022-06-13 21:12:05
</t>
  </si>
  <si>
    <t xml:space="preserve">2022-06-14 09:33:49
</t>
  </si>
  <si>
    <t xml:space="preserve"> 苗凯  发现问题  2022-06-10 18:02:40
韩启敏  整改  2022-06-13 21:12:05
苗凯  复检通过  2022-06-14 09:33:49
</t>
  </si>
  <si>
    <t>2022-06-10 18:24:17</t>
  </si>
  <si>
    <t xml:space="preserve">2022-06-13 21:11:50
</t>
  </si>
  <si>
    <t xml:space="preserve">2022-06-14 09:33:46
</t>
  </si>
  <si>
    <t xml:space="preserve"> 苗凯  发现问题  2022-06-10 18:24:17
韩启敏  整改  2022-06-13 21:11:50
苗凯  复检通过  2022-06-14 09:33:46
</t>
  </si>
  <si>
    <t>2022-06-10 18:27:10</t>
  </si>
  <si>
    <t xml:space="preserve">2022-06-13 21:10:35
</t>
  </si>
  <si>
    <t xml:space="preserve">2022-06-14 09:33:43
</t>
  </si>
  <si>
    <t xml:space="preserve"> 苗凯  发现问题  2022-06-10 18:27:10
韩启敏  整改  2022-06-13 21:10:35
苗凯  复检通过  2022-06-14 09:33:43
</t>
  </si>
  <si>
    <t>成华区二环路北四段药店</t>
  </si>
  <si>
    <t>2022-06-08 21:30:31</t>
  </si>
  <si>
    <t xml:space="preserve">2022-06-13 21:43:35
</t>
  </si>
  <si>
    <t xml:space="preserve">2022-06-14 06:43:05
</t>
  </si>
  <si>
    <t>彭志萍</t>
  </si>
  <si>
    <t xml:space="preserve"> 朱朝霞  发现问题  2022-06-08 21:30:31
彭志萍  整改  2022-06-13 21:43:35
 收到
朱朝霞  复检通过  2022-06-14 06:43:05
</t>
  </si>
  <si>
    <t>驷马桥店</t>
  </si>
  <si>
    <t>2022-06-08 21:30:00</t>
  </si>
  <si>
    <t xml:space="preserve">2022-06-13 21:43:40
</t>
  </si>
  <si>
    <t xml:space="preserve">2022-06-14 06:43:01
</t>
  </si>
  <si>
    <t xml:space="preserve"> 朱朝霞  发现问题  2022-06-08 21:30:00
彭志萍  整改  2022-06-13 21:43:40
朱朝霞  复检通过  2022-06-14 06:43:01
</t>
  </si>
  <si>
    <t>2022-06-08 21:27:47</t>
  </si>
  <si>
    <t xml:space="preserve">2022-06-13 21:44:41
</t>
  </si>
  <si>
    <t xml:space="preserve">2022-06-14 06:42:58
</t>
  </si>
  <si>
    <t xml:space="preserve"> 朱朝霞  发现问题  2022-06-08 21:27:48
彭志萍  整改  2022-06-13 21:44:41
 收到
朱朝霞  复检通过  2022-06-14 06:42:58
</t>
  </si>
  <si>
    <t>2022-06-08 21:26:15</t>
  </si>
  <si>
    <t xml:space="preserve">2022-06-13 21:44:46
</t>
  </si>
  <si>
    <t xml:space="preserve">2022-06-14 06:42:55
</t>
  </si>
  <si>
    <t xml:space="preserve"> 朱朝霞  发现问题  2022-06-08 21:26:15
彭志萍  整改  2022-06-13 21:44:46
朱朝霞  复检通过  2022-06-14 06:42:55
</t>
  </si>
  <si>
    <t>2022-06-08 21:21:08</t>
  </si>
  <si>
    <t xml:space="preserve">2022-06-13 21:45:06
</t>
  </si>
  <si>
    <t xml:space="preserve">2022-06-14 06:42:52
</t>
  </si>
  <si>
    <t xml:space="preserve"> 朱朝霞  发现问题  2022-06-08 21:21:08
彭志萍  整改  2022-06-13 21:45:06
 收到
朱朝霞  复检通过  2022-06-14 06:42:52
</t>
  </si>
  <si>
    <t>2022-06-08 21:19:44</t>
  </si>
  <si>
    <t xml:space="preserve">2022-06-13 21:45:28
</t>
  </si>
  <si>
    <t xml:space="preserve">2022-06-14 06:42:48
</t>
  </si>
  <si>
    <t xml:space="preserve"> 朱朝霞  发现问题  2022-06-08 21:19:45
彭志萍  整改  2022-06-13 21:45:28
 收到
朱朝霞  复检通过  2022-06-14 06:42:48
</t>
  </si>
  <si>
    <t xml:space="preserve">2022-06-13 21:46:14
</t>
  </si>
  <si>
    <t xml:space="preserve">2022-06-14 06:42:45
</t>
  </si>
  <si>
    <t xml:space="preserve"> 朱朝霞  发现问题  2022-06-08 21:19:44
彭志萍  整改  2022-06-13 21:46:14
 收到
朱朝霞  复检通过  2022-06-14 06:42:45
</t>
  </si>
  <si>
    <t xml:space="preserve">2022-06-13 21:46:33
</t>
  </si>
  <si>
    <t xml:space="preserve">2022-06-14 06:42:41
</t>
  </si>
  <si>
    <t xml:space="preserve"> 朱朝霞  发现问题  2022-06-08 21:19:44
彭志萍  整改  2022-06-13 21:46:33
 收到
朱朝霞  复检通过  2022-06-14 06:42:41
</t>
  </si>
  <si>
    <t>成华区羊子山西路药店</t>
  </si>
  <si>
    <t>2022-06-08 21:25:11</t>
  </si>
  <si>
    <t xml:space="preserve">2022-06-13 13:51:24
</t>
  </si>
  <si>
    <t xml:space="preserve">2022-06-13 20:23:04
</t>
  </si>
  <si>
    <t>高红华</t>
  </si>
  <si>
    <t xml:space="preserve"> 朱朝霞  发现问题  2022-06-08 21:25:11
高红华  整改  2022-06-13 13:51:24
朱朝霞  复检通过  2022-06-13 20:23:04
</t>
  </si>
  <si>
    <t>2022-06-08 21:24:10</t>
  </si>
  <si>
    <t xml:space="preserve">2022-06-13 13:52:00
</t>
  </si>
  <si>
    <t xml:space="preserve">2022-06-13 20:22:55
</t>
  </si>
  <si>
    <t xml:space="preserve"> 朱朝霞  发现问题  2022-06-08 21:24:10
高红华  整改  2022-06-13 13:52:00
朱朝霞  复检通过  2022-06-13 20:22:55
</t>
  </si>
  <si>
    <t xml:space="preserve">2022-06-13 13:52:16
</t>
  </si>
  <si>
    <t xml:space="preserve">2022-06-13 20:22:50
</t>
  </si>
  <si>
    <t xml:space="preserve"> 朱朝霞  发现问题  2022-06-08 21:24:10
高红华  整改  2022-06-13 13:52:16
 已整改
朱朝霞  复检通过  2022-06-13 20:22:50
</t>
  </si>
  <si>
    <t>2022-06-08 21:22:03</t>
  </si>
  <si>
    <t xml:space="preserve">2022-06-13 13:52:51
</t>
  </si>
  <si>
    <t xml:space="preserve">2022-06-13 20:22:46
</t>
  </si>
  <si>
    <t xml:space="preserve"> 朱朝霞  发现问题  2022-06-08 21:22:03
高红华  整改  2022-06-13 13:52:51
 冷柜正常
朱朝霞  复检通过  2022-06-13 20:22:46
</t>
  </si>
  <si>
    <t>2022-06-08 21:20:45</t>
  </si>
  <si>
    <t xml:space="preserve">2022-06-13 13:53:36
</t>
  </si>
  <si>
    <t xml:space="preserve">2022-06-13 20:22:42
</t>
  </si>
  <si>
    <t xml:space="preserve"> 朱朝霞  发现问题  2022-06-08 21:20:46
高红华  整改  2022-06-13 13:53:36
 已整改
朱朝霞  复检通过  2022-06-13 20:22:42
</t>
  </si>
  <si>
    <t xml:space="preserve">2022-06-13 13:54:35
</t>
  </si>
  <si>
    <t xml:space="preserve">2022-06-13 20:22:38
</t>
  </si>
  <si>
    <t xml:space="preserve"> 朱朝霞  发现问题  2022-06-08 21:20:46
高红华  整改  2022-06-13 13:54:35
 已陈列
朱朝霞  复检通过  2022-06-13 20:22:38
</t>
  </si>
  <si>
    <t xml:space="preserve">2022-06-13 13:55:07
</t>
  </si>
  <si>
    <t xml:space="preserve">2022-06-13 20:22:34
</t>
  </si>
  <si>
    <t xml:space="preserve"> 朱朝霞  发现问题  2022-06-08 21:20:45
高红华  整改  2022-06-13 13:55:07
 已整改
朱朝霞  复检通过  2022-06-13 20:22:34
</t>
  </si>
  <si>
    <t>2022-06-08 21:05:06</t>
  </si>
  <si>
    <t xml:space="preserve">2022-06-13 13:55:28
</t>
  </si>
  <si>
    <t xml:space="preserve">2022-06-13 20:22:30
</t>
  </si>
  <si>
    <t xml:space="preserve"> 朱朝霞  发现问题  2022-06-08 21:05:06
高红华  整改  2022-06-13 13:55:28
 冷柜正常
朱朝霞  复检通过  2022-06-13 20:22:30
</t>
  </si>
  <si>
    <t>2022-06-08 21:30:44</t>
  </si>
  <si>
    <t xml:space="preserve">2022-06-13 13:56:37
</t>
  </si>
  <si>
    <t xml:space="preserve">2022-06-13 20:22:26
</t>
  </si>
  <si>
    <t xml:space="preserve"> 朱朝霞  发现问题  2022-06-08 21:30:44
高红华  整改  2022-06-13 13:56:37
 已整改
朱朝霞  复检通过  2022-06-13 20:22:26
</t>
  </si>
  <si>
    <t>2022-06-08 21:26:54</t>
  </si>
  <si>
    <t xml:space="preserve">2022-06-13 13:57:06
</t>
  </si>
  <si>
    <t xml:space="preserve">2022-06-13 20:22:20
</t>
  </si>
  <si>
    <t xml:space="preserve"> 朱朝霞  发现问题  2022-06-08 21:26:54
高红华  整改  2022-06-13 13:57:06
 已整改
朱朝霞  复检通过  2022-06-13 20:22:20
</t>
  </si>
  <si>
    <t>2022-06-08 17:39:40</t>
  </si>
  <si>
    <t xml:space="preserve">2022-06-13 11:51:22
</t>
  </si>
  <si>
    <t xml:space="preserve">2022-06-13 12:33:50
</t>
  </si>
  <si>
    <t xml:space="preserve"> 刘琴英  发现问题  2022-06-08 17:39:40
郭俊梅  整改  2022-06-13 11:51:22
刘琴英  复检通过  2022-06-13 12:33:50
</t>
  </si>
  <si>
    <t xml:space="preserve">2022-06-13 11:54:19
</t>
  </si>
  <si>
    <t xml:space="preserve">2022-06-13 12:33:47
</t>
  </si>
  <si>
    <t xml:space="preserve"> 刘琴英  发现问题  2022-06-08 17:39:40
郭俊梅  整改  2022-06-13 11:54:19
刘琴英  复检通过  2022-06-13 12:33:47
</t>
  </si>
  <si>
    <t>2022-06-08 21:20:37</t>
  </si>
  <si>
    <t xml:space="preserve">2022-06-10 15:41:07
</t>
  </si>
  <si>
    <t xml:space="preserve">2022-06-12 08:47:57
</t>
  </si>
  <si>
    <t xml:space="preserve"> 朱朝霞  发现问题  2022-06-08 21:20:37
舒海燕  整改  2022-06-10 15:41:07
 已经整改
朱朝霞  复检通过  2022-06-12 08:47:57
</t>
  </si>
  <si>
    <t xml:space="preserve">2022-06-10 15:40:39
</t>
  </si>
  <si>
    <t xml:space="preserve">2022-06-12 08:47:51
</t>
  </si>
  <si>
    <t xml:space="preserve"> 朱朝霞  发现问题  2022-06-08 21:20:37
舒海燕  整改  2022-06-10 15:40:39
 已经整改
朱朝霞  复检通过  2022-06-12 08:47:51
</t>
  </si>
  <si>
    <t xml:space="preserve">2022-06-10 15:40:18
</t>
  </si>
  <si>
    <t xml:space="preserve">2022-06-12 08:47:48
</t>
  </si>
  <si>
    <t xml:space="preserve"> 朱朝霞  发现问题  2022-06-08 21:20:37
舒海燕  整改  2022-06-10 15:40:18
 已经整改
朱朝霞  复检通过  2022-06-12 08:47:48
</t>
  </si>
  <si>
    <t>2022-06-08 21:20:54</t>
  </si>
  <si>
    <t xml:space="preserve">2022-06-10 09:36:30
</t>
  </si>
  <si>
    <t xml:space="preserve">2022-06-12 08:47:43
</t>
  </si>
  <si>
    <t>文淼</t>
  </si>
  <si>
    <t xml:space="preserve"> 朱朝霞  发现问题  2022-06-08 21:20:54
文淼  整改  2022-06-10 09:36:30
朱朝霞  复检通过  2022-06-12 08:47:43
</t>
  </si>
  <si>
    <t xml:space="preserve">2022-06-10 09:36:12
</t>
  </si>
  <si>
    <t xml:space="preserve">2022-06-12 08:47:40
</t>
  </si>
  <si>
    <t xml:space="preserve"> 朱朝霞  发现问题  2022-06-08 21:20:54
文淼  整改  2022-06-10 09:36:12
朱朝霞  复检通过  2022-06-12 08:47:40
</t>
  </si>
  <si>
    <t xml:space="preserve">2022-06-10 09:35:39
</t>
  </si>
  <si>
    <t xml:space="preserve">2022-06-12 08:47:37
</t>
  </si>
  <si>
    <t xml:space="preserve"> 朱朝霞  发现问题  2022-06-08 21:20:54
文淼  整改  2022-06-10 09:35:39
朱朝霞  复检通过  2022-06-12 08:47:37
</t>
  </si>
  <si>
    <t>2022-06-08 21:21:02</t>
  </si>
  <si>
    <t xml:space="preserve">2022-06-10 15:06:00
</t>
  </si>
  <si>
    <t xml:space="preserve">2022-06-12 08:47:34
</t>
  </si>
  <si>
    <t>周燕</t>
  </si>
  <si>
    <t xml:space="preserve"> 朱朝霞  发现问题  2022-06-08 21:21:02
周燕  整改  2022-06-10 15:06:00
 已整改
朱朝霞  复检通过  2022-06-12 08:47:34
</t>
  </si>
  <si>
    <t xml:space="preserve">2022-06-10 15:05:55
</t>
  </si>
  <si>
    <t xml:space="preserve">2022-06-12 08:47:31
</t>
  </si>
  <si>
    <t xml:space="preserve"> 朱朝霞  发现问题  2022-06-08 21:21:02
周燕  整改  2022-06-10 15:05:55
 已整改
朱朝霞  复检通过  2022-06-12 08:47:31
</t>
  </si>
  <si>
    <t xml:space="preserve">2022-06-10 15:05:50
</t>
  </si>
  <si>
    <t xml:space="preserve">2022-06-12 08:47:26
</t>
  </si>
  <si>
    <t xml:space="preserve"> 朱朝霞  发现问题  2022-06-08 21:21:02
周燕  整改  2022-06-10 15:05:50
 已整改
朱朝霞  复检通过  2022-06-12 08:47:26
</t>
  </si>
  <si>
    <t>2022-06-08 21:24:02</t>
  </si>
  <si>
    <t xml:space="preserve">2022-06-10 15:38:46
</t>
  </si>
  <si>
    <t xml:space="preserve">2022-06-12 08:47:23
</t>
  </si>
  <si>
    <t xml:space="preserve"> 朱朝霞  发现问题  2022-06-08 21:24:02
舒海燕  整改  2022-06-10 15:38:46
 已经整改
朱朝霞  复检通过  2022-06-12 08:47:23
</t>
  </si>
  <si>
    <t xml:space="preserve">2022-06-10 15:38:13
</t>
  </si>
  <si>
    <t xml:space="preserve">2022-06-12 08:47:20
</t>
  </si>
  <si>
    <t xml:space="preserve"> 朱朝霞  发现问题  2022-06-08 21:24:02
舒海燕  整改  2022-06-10 15:38:13
 已经整改
朱朝霞  复检通过  2022-06-12 08:47:20
</t>
  </si>
  <si>
    <t>2022-06-08 21:24:19</t>
  </si>
  <si>
    <t xml:space="preserve">2022-06-10 09:34:52
</t>
  </si>
  <si>
    <t xml:space="preserve">2022-06-12 08:47:17
</t>
  </si>
  <si>
    <t xml:space="preserve"> 朱朝霞  发现问题  2022-06-08 21:24:19
文淼  整改  2022-06-10 09:34:52
朱朝霞  复检通过  2022-06-12 08:47:17
</t>
  </si>
  <si>
    <t xml:space="preserve">2022-06-10 09:34:27
</t>
  </si>
  <si>
    <t xml:space="preserve">2022-06-12 08:47:14
</t>
  </si>
  <si>
    <t xml:space="preserve"> 朱朝霞  发现问题  2022-06-08 21:24:19
文淼  整改  2022-06-10 09:34:27
朱朝霞  复检通过  2022-06-12 08:47:14
</t>
  </si>
  <si>
    <t>2022-06-08 21:24:26</t>
  </si>
  <si>
    <t xml:space="preserve">2022-06-10 15:05:40
</t>
  </si>
  <si>
    <t xml:space="preserve">2022-06-12 08:47:12
</t>
  </si>
  <si>
    <t xml:space="preserve"> 朱朝霞  发现问题  2022-06-08 21:24:26
周燕  整改  2022-06-10 15:05:40
 已整改
朱朝霞  复检通过  2022-06-12 08:47:12
</t>
  </si>
  <si>
    <t xml:space="preserve">2022-06-10 15:05:34
</t>
  </si>
  <si>
    <t xml:space="preserve">2022-06-12 08:47:03
</t>
  </si>
  <si>
    <t xml:space="preserve"> 朱朝霞  发现问题  2022-06-08 21:24:26
周燕  整改  2022-06-10 15:05:34
 已整改
朱朝霞  复检通过  2022-06-12 08:47:03
</t>
  </si>
  <si>
    <t>2022-06-08 21:26:47</t>
  </si>
  <si>
    <t xml:space="preserve">2022-06-10 15:41:42
</t>
  </si>
  <si>
    <t xml:space="preserve">2022-06-12 08:47:00
</t>
  </si>
  <si>
    <t xml:space="preserve"> 朱朝霞  发现问题  2022-06-08 21:26:47
舒海燕  整改  2022-06-10 15:41:42
 已经整改
朱朝霞  复检通过  2022-06-12 08:47:00
</t>
  </si>
  <si>
    <t>2022-06-08 21:27:34</t>
  </si>
  <si>
    <t xml:space="preserve">2022-06-10 09:33:59
</t>
  </si>
  <si>
    <t xml:space="preserve">2022-06-12 08:46:53
</t>
  </si>
  <si>
    <t xml:space="preserve"> 朱朝霞  发现问题  2022-06-08 21:27:34
文淼  整改  2022-06-10 09:33:59
朱朝霞  复检通过  2022-06-12 08:46:53
</t>
  </si>
  <si>
    <t>2022-06-08 21:27:41</t>
  </si>
  <si>
    <t xml:space="preserve">2022-06-10 15:05:29
</t>
  </si>
  <si>
    <t xml:space="preserve">2022-06-12 08:46:50
</t>
  </si>
  <si>
    <t xml:space="preserve"> 朱朝霞  发现问题  2022-06-08 21:27:41
周燕  整改  2022-06-10 15:05:29
 已整改
朱朝霞  复检通过  2022-06-12 08:46:50
</t>
  </si>
  <si>
    <t>2022-06-08 21:30:06</t>
  </si>
  <si>
    <t xml:space="preserve">2022-06-10 15:42:37
</t>
  </si>
  <si>
    <t xml:space="preserve">2022-06-12 08:46:47
</t>
  </si>
  <si>
    <t xml:space="preserve"> 朱朝霞  发现问题  2022-06-08 21:30:07
舒海燕  整改  2022-06-10 15:42:37
 已经整改
朱朝霞  复检通过  2022-06-12 08:46:47
</t>
  </si>
  <si>
    <t>2022-06-08 21:30:25</t>
  </si>
  <si>
    <t xml:space="preserve">2022-06-10 09:33:28
</t>
  </si>
  <si>
    <t xml:space="preserve">2022-06-12 08:46:45
</t>
  </si>
  <si>
    <t xml:space="preserve"> 朱朝霞  发现问题  2022-06-08 21:30:25
文淼  整改  2022-06-10 09:33:28
朱朝霞  复检通过  2022-06-12 08:46:45
</t>
  </si>
  <si>
    <t>2022-06-08 21:30:59</t>
  </si>
  <si>
    <t xml:space="preserve">2022-06-10 15:05:21
</t>
  </si>
  <si>
    <t xml:space="preserve">2022-06-12 08:46:42
</t>
  </si>
  <si>
    <t xml:space="preserve"> 朱朝霞  发现问题  2022-06-08 21:30:59
周燕  整改  2022-06-10 15:05:21
 已整改
朱朝霞  复检通过  2022-06-12 08:46:42
</t>
  </si>
  <si>
    <t>2022-06-04 10:26:18</t>
  </si>
  <si>
    <t xml:space="preserve">2022-06-09 13:56:16
</t>
  </si>
  <si>
    <t xml:space="preserve">2022-06-10 23:59:34
</t>
  </si>
  <si>
    <t xml:space="preserve"> 刘琴英  发现问题  2022-06-04 10:26:18
辜瑞琪  整改  2022-06-09 13:56:16
 巳整改
刘琴英  复检通过  2022-06-10 23:59:34
</t>
  </si>
  <si>
    <t>2022-06-04 10:24:30</t>
  </si>
  <si>
    <t xml:space="preserve">2022-06-09 13:56:43
</t>
  </si>
  <si>
    <t xml:space="preserve">2022-06-10 23:59:32
</t>
  </si>
  <si>
    <t xml:space="preserve"> 刘琴英  发现问题  2022-06-04 10:24:30
辜瑞琪  整改  2022-06-09 13:56:43
 巳整改
刘琴英  复检通过  2022-06-10 23:59:32
</t>
  </si>
  <si>
    <t xml:space="preserve">2022-06-09 13:57:20
</t>
  </si>
  <si>
    <t xml:space="preserve">2022-06-10 23:59:28
</t>
  </si>
  <si>
    <t xml:space="preserve"> 刘琴英  发现问题  2022-06-04 10:26:18
辜瑞琪  整改  2022-06-09 13:57:20
 巳完成
刘琴英  复检通过  2022-06-10 23:59:28
</t>
  </si>
  <si>
    <t xml:space="preserve">2022-06-09 13:58:10
</t>
  </si>
  <si>
    <t xml:space="preserve">2022-06-10 23:59:25
</t>
  </si>
  <si>
    <t xml:space="preserve"> 刘琴英  发现问题  2022-06-04 10:26:18
辜瑞琪  整改  2022-06-09 13:58:10
 巳陈列
刘琴英  复检通过  2022-06-10 23:59:25
</t>
  </si>
  <si>
    <t>2022-06-06 08:07:29</t>
  </si>
  <si>
    <t xml:space="preserve"> 何巍  发现问题  2022-06-06 08:07:29
</t>
  </si>
  <si>
    <t>2022-06-01 15:15:51</t>
  </si>
  <si>
    <t>2022-06-01</t>
  </si>
  <si>
    <t xml:space="preserve">2022-06-06 21:10:15
</t>
  </si>
  <si>
    <t xml:space="preserve">2022-06-09 17:29:35
</t>
  </si>
  <si>
    <t xml:space="preserve"> 苗凯  发现问题  2022-06-01 15:15:51
周有惠  整改  2022-06-06 21:10:15
 已整改
苗凯  复检通过  2022-06-09 17:29:35
</t>
  </si>
  <si>
    <t>2022-06-01 15:16:31</t>
  </si>
  <si>
    <t xml:space="preserve">2022-06-06 21:10:40
</t>
  </si>
  <si>
    <t xml:space="preserve">2022-06-09 17:29:32
</t>
  </si>
  <si>
    <t xml:space="preserve"> 苗凯  发现问题  2022-06-01 15:16:31
周有惠  整改  2022-06-06 21:10:40
 已整改
苗凯  复检通过  2022-06-09 17:29:32
</t>
  </si>
  <si>
    <t>2022-06-01 15:17:11</t>
  </si>
  <si>
    <t xml:space="preserve">2022-06-06 21:23:59
</t>
  </si>
  <si>
    <t xml:space="preserve">2022-06-09 17:29:29
</t>
  </si>
  <si>
    <t xml:space="preserve"> 苗凯  发现问题  2022-06-01 15:17:11
周有惠  整改  2022-06-06 21:23:59
 已整改
苗凯  复检通过  2022-06-09 17:29:29
</t>
  </si>
  <si>
    <t xml:space="preserve">2022-06-06 21:24:58
</t>
  </si>
  <si>
    <t xml:space="preserve">2022-06-09 17:29:26
</t>
  </si>
  <si>
    <t xml:space="preserve"> 苗凯  发现问题  2022-06-01 15:17:11
周有惠  整改  2022-06-06 21:24:58
 已整改
苗凯  复检通过  2022-06-09 17:29:26
</t>
  </si>
  <si>
    <t>2022-06-01 15:17:14</t>
  </si>
  <si>
    <t xml:space="preserve">2022-06-06 21:25:48
</t>
  </si>
  <si>
    <t xml:space="preserve">2022-06-09 17:28:51
</t>
  </si>
  <si>
    <t xml:space="preserve"> 苗凯  发现问题  2022-06-01 15:17:14
周有惠  整改  2022-06-06 21:25:48
 已整改
苗凯  复检通过  2022-06-09 17:28:51
</t>
  </si>
  <si>
    <t>2022-06-03 17:08:41</t>
  </si>
  <si>
    <t>2022-06-03</t>
  </si>
  <si>
    <t xml:space="preserve">2022-06-03 22:56:54
</t>
  </si>
  <si>
    <t xml:space="preserve">2022-06-09 17:28:48
</t>
  </si>
  <si>
    <t xml:space="preserve"> 苗凯  发现问题  2022-06-03 17:08:41
聂丽  整改  2022-06-03 22:56:54
 已整改请审批
苗凯  复检通过  2022-06-09 17:28:48
</t>
  </si>
  <si>
    <t>2022-06-01 15:15:46</t>
  </si>
  <si>
    <t xml:space="preserve">2022-06-03 18:48:08
</t>
  </si>
  <si>
    <t xml:space="preserve">2022-06-09 17:28:44
</t>
  </si>
  <si>
    <t xml:space="preserve"> 苗凯  发现问题  2022-06-01 15:15:46
孙佳丽  整改  2022-06-03 18:48:08
 已整改
苗凯  复检通过  2022-06-09 17:28:44
</t>
  </si>
  <si>
    <t xml:space="preserve">2022-06-03 18:48:05
</t>
  </si>
  <si>
    <t xml:space="preserve">2022-06-09 17:28:40
</t>
  </si>
  <si>
    <t xml:space="preserve"> 苗凯  发现问题  2022-06-01 15:15:46
孙佳丽  整改  2022-06-03 18:48:05
 已整改
苗凯  复检通过  2022-06-09 17:28:40
</t>
  </si>
  <si>
    <t xml:space="preserve">2022-06-03 18:48:01
</t>
  </si>
  <si>
    <t xml:space="preserve">2022-06-09 17:28:37
</t>
  </si>
  <si>
    <t xml:space="preserve"> 苗凯  发现问题  2022-06-01 15:15:46
孙佳丽  整改  2022-06-03 18:48:01
 已整改
苗凯  复检通过  2022-06-09 17:28:37
</t>
  </si>
  <si>
    <t>2022-06-01 15:16:06</t>
  </si>
  <si>
    <t xml:space="preserve">2022-06-03 18:36:30
</t>
  </si>
  <si>
    <t xml:space="preserve">2022-06-09 17:28:34
</t>
  </si>
  <si>
    <t>杨科</t>
  </si>
  <si>
    <t xml:space="preserve"> 苗凯  发现问题  2022-06-01 15:16:06
杨科  整改  2022-06-03 18:36:30
 已整改
苗凯  复检通过  2022-06-09 17:28:34
</t>
  </si>
  <si>
    <t xml:space="preserve">2022-06-03 18:36:44
</t>
  </si>
  <si>
    <t xml:space="preserve">2022-06-09 17:28:29
</t>
  </si>
  <si>
    <t xml:space="preserve"> 苗凯  发现问题  2022-06-01 15:16:06
杨科  整改  2022-06-03 18:36:44
 已整改
苗凯  复检通过  2022-06-09 17:28:29
</t>
  </si>
  <si>
    <t xml:space="preserve">2022-06-03 18:36:39
</t>
  </si>
  <si>
    <t xml:space="preserve">2022-06-09 17:28:26
</t>
  </si>
  <si>
    <t xml:space="preserve"> 苗凯  发现问题  2022-06-01 15:16:06
杨科  整改  2022-06-03 18:36:39
 已整改
苗凯  复检通过  2022-06-09 17:28:26
</t>
  </si>
  <si>
    <t>2022-06-01 15:17:02</t>
  </si>
  <si>
    <t xml:space="preserve">2022-06-03 18:47:55
</t>
  </si>
  <si>
    <t xml:space="preserve">2022-06-09 17:28:22
</t>
  </si>
  <si>
    <t xml:space="preserve"> 苗凯  发现问题  2022-06-01 15:17:02
孙佳丽  整改  2022-06-03 18:47:55
 已整改
苗凯  复检通过  2022-06-09 17:28:22
</t>
  </si>
  <si>
    <t xml:space="preserve">2022-06-03 18:47:52
</t>
  </si>
  <si>
    <t xml:space="preserve">2022-06-09 17:28:19
</t>
  </si>
  <si>
    <t xml:space="preserve"> 苗凯  发现问题  2022-06-01 15:17:02
孙佳丽  整改  2022-06-03 18:47:52
 已整改
苗凯  复检通过  2022-06-09 17:28:19
</t>
  </si>
  <si>
    <t>2022-06-01 15:17:34</t>
  </si>
  <si>
    <t xml:space="preserve">2022-06-03 18:36:51
</t>
  </si>
  <si>
    <t xml:space="preserve">2022-06-09 17:28:15
</t>
  </si>
  <si>
    <t xml:space="preserve"> 苗凯  发现问题  2022-06-01 15:17:34
杨科  整改  2022-06-03 18:36:51
 已整改
苗凯  复检通过  2022-06-09 17:28:15
</t>
  </si>
  <si>
    <t xml:space="preserve">2022-06-03 18:37:01
</t>
  </si>
  <si>
    <t xml:space="preserve">2022-06-09 17:28:12
</t>
  </si>
  <si>
    <t xml:space="preserve"> 苗凯  发现问题  2022-06-01 15:17:34
杨科  整改  2022-06-03 18:37:01
 已整改
苗凯  复检通过  2022-06-09 17:28:12
</t>
  </si>
  <si>
    <t xml:space="preserve">2022-06-06 21:06:53
</t>
  </si>
  <si>
    <t xml:space="preserve">2022-06-09 17:28:09
</t>
  </si>
  <si>
    <t xml:space="preserve"> 苗凯  发现问题  2022-06-01 15:15:51
周有惠  整改  2022-06-06 21:06:53
 已陈列
苗凯  复检通过  2022-06-09 17:28:09
</t>
  </si>
  <si>
    <t>2022-06-01 15:15:17</t>
  </si>
  <si>
    <t xml:space="preserve">2022-06-06 21:08:35
</t>
  </si>
  <si>
    <t xml:space="preserve">2022-06-09 17:28:06
</t>
  </si>
  <si>
    <t xml:space="preserve"> 苗凯  发现问题  2022-06-01 15:15:17
周有惠  整改  2022-06-06 21:08:35
 已整改
苗凯  复检通过  2022-06-09 17:28:06
</t>
  </si>
  <si>
    <t xml:space="preserve">2022-06-06 21:09:37
</t>
  </si>
  <si>
    <t xml:space="preserve">2022-06-09 17:28:03
</t>
  </si>
  <si>
    <t xml:space="preserve"> 苗凯  发现问题  2022-06-01 15:15:51
周有惠  整改  2022-06-06 21:09:37
 已整改
苗凯  复检通过  2022-06-09 17:28:03
</t>
  </si>
  <si>
    <t>2022-06-03 17:08:46</t>
  </si>
  <si>
    <t xml:space="preserve">2022-06-05 12:40:30
</t>
  </si>
  <si>
    <t xml:space="preserve">2022-06-09 17:27:58
</t>
  </si>
  <si>
    <t>杨文英</t>
  </si>
  <si>
    <t xml:space="preserve"> 苗凯  发现问题  2022-06-03 17:08:47
杨文英  整改  2022-06-05 12:40:30
 已整改
苗凯  复检通过  2022-06-09 17:27:58
</t>
  </si>
  <si>
    <t>2022-06-03 17:08:53</t>
  </si>
  <si>
    <t xml:space="preserve">2022-06-06 21:26:13
</t>
  </si>
  <si>
    <t xml:space="preserve">2022-06-09 17:27:55
</t>
  </si>
  <si>
    <t xml:space="preserve"> 苗凯  发现问题  2022-06-03 17:08:53
周有惠  整改  2022-06-06 21:26:13
 已整改
苗凯  复检通过  2022-06-09 17:27:55
</t>
  </si>
  <si>
    <t>2022-06-03 17:09:05</t>
  </si>
  <si>
    <t xml:space="preserve">2022-06-03 18:47:48
</t>
  </si>
  <si>
    <t xml:space="preserve">2022-06-09 17:27:52
</t>
  </si>
  <si>
    <t xml:space="preserve"> 苗凯  发现问题  2022-06-03 17:09:05
孙佳丽  整改  2022-06-03 18:47:48
 已整改
苗凯  复检通过  2022-06-09 17:27:52
</t>
  </si>
  <si>
    <t>2022-06-03 17:09:11</t>
  </si>
  <si>
    <t xml:space="preserve">2022-06-06 17:58:17
</t>
  </si>
  <si>
    <t xml:space="preserve">2022-06-09 17:27:48
</t>
  </si>
  <si>
    <t>何丽萍</t>
  </si>
  <si>
    <t xml:space="preserve"> 苗凯  发现问题  2022-06-03 17:09:11
何丽萍  整改  2022-06-06 17:58:17
 已整改
苗凯  复检通过  2022-06-09 17:27:48
</t>
  </si>
  <si>
    <t>2022-06-03 17:09:16</t>
  </si>
  <si>
    <t xml:space="preserve">2022-06-04 08:26:25
</t>
  </si>
  <si>
    <t xml:space="preserve">2022-06-09 17:27:45
</t>
  </si>
  <si>
    <t xml:space="preserve"> 苗凯  发现问题  2022-06-03 17:09:16
吴阳  整改  2022-06-04 08:26:25
 已整改
苗凯  复检通过  2022-06-09 17:27:45
</t>
  </si>
  <si>
    <t>2022-06-03 17:09:23</t>
  </si>
  <si>
    <t xml:space="preserve">2022-06-03 22:57:21
</t>
  </si>
  <si>
    <t xml:space="preserve">2022-06-09 17:27:41
</t>
  </si>
  <si>
    <t xml:space="preserve"> 苗凯  发现问题  2022-06-03 17:09:23
聂丽  整改  2022-06-03 22:57:21
 已整改请审批
苗凯  复检通过  2022-06-09 17:27:41
</t>
  </si>
  <si>
    <t xml:space="preserve">2022-06-03 22:59:53
</t>
  </si>
  <si>
    <t xml:space="preserve">2022-06-09 17:27:38
</t>
  </si>
  <si>
    <t xml:space="preserve"> 苗凯  发现问题  2022-06-03 17:09:23
聂丽  整改  2022-06-03 22:59:53
 已整改请审批
苗凯  复检通过  2022-06-09 17:27:38
</t>
  </si>
  <si>
    <t xml:space="preserve">2022-06-03 22:59:42
</t>
  </si>
  <si>
    <t xml:space="preserve">2022-06-09 17:27:35
</t>
  </si>
  <si>
    <t xml:space="preserve"> 苗凯  发现问题  2022-06-03 17:09:23
聂丽  整改  2022-06-03 22:59:42
 已整改请审批
苗凯  复检通过  2022-06-09 17:27:35
</t>
  </si>
  <si>
    <t>2022-06-03 17:09:28</t>
  </si>
  <si>
    <t xml:space="preserve">2022-06-05 12:40:15
</t>
  </si>
  <si>
    <t xml:space="preserve">2022-06-09 17:27:32
</t>
  </si>
  <si>
    <t xml:space="preserve"> 苗凯  发现问题  2022-06-03 17:09:28
杨文英  整改  2022-06-05 12:40:15
 已整改
苗凯  复检通过  2022-06-09 17:27:32
</t>
  </si>
  <si>
    <t xml:space="preserve">2022-06-05 12:39:50
</t>
  </si>
  <si>
    <t xml:space="preserve">2022-06-09 17:27:29
</t>
  </si>
  <si>
    <t xml:space="preserve"> 苗凯  发现问题  2022-06-03 17:09:28
杨文英  整改  2022-06-05 12:39:50
 已整改
苗凯  复检通过  2022-06-09 17:27:29
</t>
  </si>
  <si>
    <t xml:space="preserve">2022-06-05 12:39:22
</t>
  </si>
  <si>
    <t xml:space="preserve">2022-06-09 17:27:26
</t>
  </si>
  <si>
    <t xml:space="preserve"> 苗凯  发现问题  2022-06-03 17:09:28
杨文英  整改  2022-06-05 12:39:22
 已整改
苗凯  复检通过  2022-06-09 17:27:26
</t>
  </si>
  <si>
    <t>2022-06-03 17:09:35</t>
  </si>
  <si>
    <t xml:space="preserve">2022-06-03 18:47:45
</t>
  </si>
  <si>
    <t xml:space="preserve">2022-06-09 17:27:23
</t>
  </si>
  <si>
    <t xml:space="preserve"> 苗凯  发现问题  2022-06-03 17:09:35
孙佳丽  整改  2022-06-03 18:47:45
 已整改
苗凯  复检通过  2022-06-09 17:27:23
</t>
  </si>
  <si>
    <t xml:space="preserve">2022-06-03 18:47:41
</t>
  </si>
  <si>
    <t xml:space="preserve">2022-06-09 17:27:20
</t>
  </si>
  <si>
    <t xml:space="preserve"> 苗凯  发现问题  2022-06-03 17:09:35
孙佳丽  整改  2022-06-03 18:47:41
 已整改
苗凯  复检通过  2022-06-09 17:27:20
</t>
  </si>
  <si>
    <t xml:space="preserve">2022-06-03 18:47:37
</t>
  </si>
  <si>
    <t xml:space="preserve">2022-06-09 17:27:16
</t>
  </si>
  <si>
    <t xml:space="preserve"> 苗凯  发现问题  2022-06-03 17:09:35
孙佳丽  整改  2022-06-03 18:47:37
 已整改
苗凯  复检通过  2022-06-09 17:27:16
</t>
  </si>
  <si>
    <t>2022-06-03 17:09:41</t>
  </si>
  <si>
    <t xml:space="preserve">2022-06-06 21:26:37
</t>
  </si>
  <si>
    <t xml:space="preserve">2022-06-09 17:27:13
</t>
  </si>
  <si>
    <t xml:space="preserve"> 苗凯  发现问题  2022-06-03 17:09:41
周有惠  整改  2022-06-06 21:26:37
 已整改
苗凯  复检通过  2022-06-09 17:27:13
</t>
  </si>
  <si>
    <t xml:space="preserve">2022-06-06 21:29:24
</t>
  </si>
  <si>
    <t xml:space="preserve">2022-06-09 17:27:10
</t>
  </si>
  <si>
    <t xml:space="preserve"> 苗凯  发现问题  2022-06-03 17:09:41
周有惠  整改  2022-06-06 21:29:24
 已整改
苗凯  复检通过  2022-06-09 17:27:10
</t>
  </si>
  <si>
    <t>2022-06-03 17:09:47</t>
  </si>
  <si>
    <t xml:space="preserve">2022-06-04 17:08:03
</t>
  </si>
  <si>
    <t xml:space="preserve">2022-06-09 17:27:07
</t>
  </si>
  <si>
    <t xml:space="preserve"> 苗凯  发现问题  2022-06-03 17:09:47
韩启敏  整改  2022-06-04 17:08:03
 进门端头陈列
苗凯  复检通过  2022-06-09 17:27:07
</t>
  </si>
  <si>
    <t xml:space="preserve">2022-06-04 17:07:10
</t>
  </si>
  <si>
    <t xml:space="preserve">2022-06-09 17:27:04
</t>
  </si>
  <si>
    <t xml:space="preserve"> 苗凯  发现问题  2022-06-03 17:09:47
韩启敏  整改  2022-06-04 17:07:10
 体重专区宣传陈列
苗凯  复检通过  2022-06-09 17:27:04
</t>
  </si>
  <si>
    <t xml:space="preserve">2022-06-04 17:06:15
</t>
  </si>
  <si>
    <t xml:space="preserve">2022-06-09 17:27:01
</t>
  </si>
  <si>
    <t xml:space="preserve"> 苗凯  发现问题  2022-06-03 17:09:47
韩启敏  整改  2022-06-04 17:06:15
 睡眠专区陈列
苗凯  复检通过  2022-06-09 17:27:01
</t>
  </si>
  <si>
    <t>2022-06-03 17:09:53</t>
  </si>
  <si>
    <t xml:space="preserve">2022-06-06 17:58:30
</t>
  </si>
  <si>
    <t xml:space="preserve">2022-06-09 17:26:58
</t>
  </si>
  <si>
    <t xml:space="preserve"> 苗凯  发现问题  2022-06-03 17:09:53
何丽萍  整改  2022-06-06 17:58:30
 已整改
苗凯  复检通过  2022-06-09 17:26:58
</t>
  </si>
  <si>
    <t xml:space="preserve">2022-06-06 17:58:39
</t>
  </si>
  <si>
    <t xml:space="preserve">2022-06-09 17:26:53
</t>
  </si>
  <si>
    <t xml:space="preserve"> 苗凯  发现问题  2022-06-03 17:09:53
何丽萍  整改  2022-06-06 17:58:39
 已整改
苗凯  复检通过  2022-06-09 17:26:53
</t>
  </si>
  <si>
    <t xml:space="preserve">2022-06-06 17:58:50
</t>
  </si>
  <si>
    <t xml:space="preserve">2022-06-09 17:26:50
</t>
  </si>
  <si>
    <t xml:space="preserve"> 苗凯  发现问题  2022-06-03 17:09:53
何丽萍  整改  2022-06-06 17:58:50
 已整改
苗凯  复检通过  2022-06-09 17:26:50
</t>
  </si>
  <si>
    <t>2022-06-03 17:09:58</t>
  </si>
  <si>
    <t xml:space="preserve">2022-06-03 18:37:09
</t>
  </si>
  <si>
    <t xml:space="preserve">2022-06-09 17:26:46
</t>
  </si>
  <si>
    <t xml:space="preserve"> 苗凯  发现问题  2022-06-03 17:09:58
杨科  整改  2022-06-03 18:37:09
 已整改
苗凯  复检通过  2022-06-09 17:26:46
</t>
  </si>
  <si>
    <t xml:space="preserve">2022-06-03 18:37:15
</t>
  </si>
  <si>
    <t xml:space="preserve">2022-06-09 17:26:43
</t>
  </si>
  <si>
    <t xml:space="preserve"> 苗凯  发现问题  2022-06-03 17:09:58
杨科  整改  2022-06-03 18:37:15
 已整改
苗凯  复检通过  2022-06-09 17:26:43
</t>
  </si>
  <si>
    <t xml:space="preserve">2022-06-03 18:37:27
</t>
  </si>
  <si>
    <t xml:space="preserve">2022-06-09 17:26:40
</t>
  </si>
  <si>
    <t xml:space="preserve"> 苗凯  发现问题  2022-06-03 17:09:58
杨科  整改  2022-06-03 18:37:27
 已整改
苗凯  复检通过  2022-06-09 17:26:40
</t>
  </si>
  <si>
    <t>2022-06-03 17:10:20</t>
  </si>
  <si>
    <t xml:space="preserve">2022-06-04 08:26:22
</t>
  </si>
  <si>
    <t xml:space="preserve">2022-06-09 17:26:36
</t>
  </si>
  <si>
    <t xml:space="preserve"> 苗凯  发现问题  2022-06-03 17:10:20
吴阳  整改  2022-06-04 08:26:22
 已整改
苗凯  复检通过  2022-06-09 17:26:36
</t>
  </si>
  <si>
    <t xml:space="preserve">2022-06-04 08:26:17
</t>
  </si>
  <si>
    <t xml:space="preserve">2022-06-09 17:26:33
</t>
  </si>
  <si>
    <t xml:space="preserve"> 苗凯  发现问题  2022-06-03 17:10:20
吴阳  整改  2022-06-04 08:26:17
 已陈列
苗凯  复检通过  2022-06-09 17:26:33
</t>
  </si>
  <si>
    <t>2022-06-03 17:10:25</t>
  </si>
  <si>
    <t xml:space="preserve">2022-06-03 22:58:26
</t>
  </si>
  <si>
    <t xml:space="preserve">2022-06-09 17:26:30
</t>
  </si>
  <si>
    <t xml:space="preserve"> 苗凯  发现问题  2022-06-03 17:10:25
聂丽  整改  2022-06-03 22:58:26
 已整改请审批
苗凯  复检通过  2022-06-09 17:26:30
</t>
  </si>
  <si>
    <t>2022-06-03 17:10:30</t>
  </si>
  <si>
    <t xml:space="preserve">2022-06-05 12:38:57
</t>
  </si>
  <si>
    <t xml:space="preserve">2022-06-09 17:26:27
</t>
  </si>
  <si>
    <t xml:space="preserve"> 苗凯  发现问题  2022-06-03 17:10:30
杨文英  整改  2022-06-05 12:38:57
 已整改
苗凯  复检通过  2022-06-09 17:26:27
</t>
  </si>
  <si>
    <t>2022-06-03 17:10:45</t>
  </si>
  <si>
    <t xml:space="preserve">2022-06-06 17:59:03
</t>
  </si>
  <si>
    <t xml:space="preserve">2022-06-09 17:26:24
</t>
  </si>
  <si>
    <t xml:space="preserve"> 苗凯  发现问题  2022-06-03 17:10:45
何丽萍  整改  2022-06-06 17:59:03
 已整改
苗凯  复检通过  2022-06-09 17:26:24
</t>
  </si>
  <si>
    <t>2022-06-03 17:10:50</t>
  </si>
  <si>
    <t xml:space="preserve">2022-06-04 08:26:11
</t>
  </si>
  <si>
    <t xml:space="preserve">2022-06-09 17:26:20
</t>
  </si>
  <si>
    <t xml:space="preserve"> 苗凯  发现问题  2022-06-03 17:10:50
吴阳  整改  2022-06-04 08:26:11
 已整改
苗凯  复检通过  2022-06-09 17:26:20
</t>
  </si>
  <si>
    <t>2022-06-03 17:11:03</t>
  </si>
  <si>
    <t xml:space="preserve">2022-06-03 22:58:57
</t>
  </si>
  <si>
    <t xml:space="preserve">2022-06-09 17:26:17
</t>
  </si>
  <si>
    <t xml:space="preserve"> 苗凯  发现问题  2022-06-03 17:11:03
聂丽  整改  2022-06-03 22:58:57
 已整改请审批
苗凯  复检通过  2022-06-09 17:26:17
</t>
  </si>
  <si>
    <t>2022-06-03 17:11:13</t>
  </si>
  <si>
    <t xml:space="preserve">2022-06-05 12:38:40
</t>
  </si>
  <si>
    <t xml:space="preserve">2022-06-09 17:26:14
</t>
  </si>
  <si>
    <t xml:space="preserve"> 苗凯  发现问题  2022-06-03 17:11:13
杨文英  整改  2022-06-05 12:38:40
 已整改
苗凯  复检通过  2022-06-09 17:26:14
</t>
  </si>
  <si>
    <t>2022-06-03 17:11:31</t>
  </si>
  <si>
    <t xml:space="preserve">2022-06-04 17:05:08
</t>
  </si>
  <si>
    <t xml:space="preserve">2022-06-09 17:26:12
</t>
  </si>
  <si>
    <t xml:space="preserve"> 苗凯  发现问题  2022-06-03 17:11:31
韩启敏  整改  2022-06-04 17:05:08
 爱心药箱无过期药品
苗凯  复检通过  2022-06-09 17:26:12
</t>
  </si>
  <si>
    <t>2022-06-03 17:11:41</t>
  </si>
  <si>
    <t xml:space="preserve">2022-06-06 17:59:20
</t>
  </si>
  <si>
    <t xml:space="preserve">2022-06-09 17:26:09
</t>
  </si>
  <si>
    <t xml:space="preserve"> 苗凯  发现问题  2022-06-03 17:11:41
何丽萍  整改  2022-06-06 17:59:20
 已整改
苗凯  复检通过  2022-06-09 17:26:09
</t>
  </si>
  <si>
    <t>2022-06-03 17:11:47</t>
  </si>
  <si>
    <t xml:space="preserve">2022-06-03 18:37:36
</t>
  </si>
  <si>
    <t xml:space="preserve">2022-06-09 17:26:06
</t>
  </si>
  <si>
    <t xml:space="preserve"> 苗凯  发现问题  2022-06-03 17:11:47
杨科  整改  2022-06-03 18:37:36
 已整改
苗凯  复检通过  2022-06-09 17:26:06
</t>
  </si>
  <si>
    <t>2022-06-03 17:11:52</t>
  </si>
  <si>
    <t xml:space="preserve">2022-06-04 08:26:07
</t>
  </si>
  <si>
    <t xml:space="preserve">2022-06-09 17:26:02
</t>
  </si>
  <si>
    <t xml:space="preserve"> 苗凯  发现问题  2022-06-03 17:11:52
吴阳  整改  2022-06-04 08:26:07
 已陈列
苗凯  复检通过  2022-06-09 17:26:02
</t>
  </si>
  <si>
    <t xml:space="preserve">2022-06-07 12:50:23
</t>
  </si>
  <si>
    <t xml:space="preserve">2022-06-09 17:25:59
</t>
  </si>
  <si>
    <t xml:space="preserve"> 苗凯  发现问题  2022-06-03 17:09:41
周有惠  整改  2022-06-07 12:50:23
 已整改
苗凯  复检通过  2022-06-09 17:25:59
</t>
  </si>
  <si>
    <t>2022-06-03 17:10:39</t>
  </si>
  <si>
    <t xml:space="preserve">2022-06-07 12:51:07
</t>
  </si>
  <si>
    <t xml:space="preserve">2022-06-09 17:25:56
</t>
  </si>
  <si>
    <t xml:space="preserve"> 苗凯  发现问题  2022-06-03 17:10:39
周有惠  整改  2022-06-07 12:51:07
 已整改
苗凯  复检通过  2022-06-09 17:25:56
</t>
  </si>
  <si>
    <t>2022-06-03 17:11:18</t>
  </si>
  <si>
    <t xml:space="preserve">2022-06-07 12:55:32
</t>
  </si>
  <si>
    <t xml:space="preserve">2022-06-09 17:25:53
</t>
  </si>
  <si>
    <t xml:space="preserve"> 苗凯  发现问题  2022-06-03 17:11:18
周有惠  整改  2022-06-07 12:55:32
 已整改
苗凯  复检通过  2022-06-09 17:25:53
</t>
  </si>
  <si>
    <t>新园大道药店</t>
  </si>
  <si>
    <t>2022-06-02 11:03:16</t>
  </si>
  <si>
    <t>2022-06-02</t>
  </si>
  <si>
    <t>2022-06-05</t>
  </si>
  <si>
    <t xml:space="preserve">2022-06-08 16:43:13
</t>
  </si>
  <si>
    <t xml:space="preserve">2022-06-09 15:06:10
</t>
  </si>
  <si>
    <t>朱文艺</t>
  </si>
  <si>
    <t xml:space="preserve"> 曾蕾蕾  发现问题  2022-06-02 11:03:16
朱文艺  整改  2022-06-08 16:43:13
曾蕾蕾  复检通过  2022-06-09 15:06:10
</t>
  </si>
  <si>
    <t>尚锦路店</t>
  </si>
  <si>
    <t>2022-06-02 10:39:10</t>
  </si>
  <si>
    <t xml:space="preserve">2022-06-08 19:35:28
</t>
  </si>
  <si>
    <t xml:space="preserve">2022-06-09 13:15:31
</t>
  </si>
  <si>
    <t>邓银鑫</t>
  </si>
  <si>
    <t xml:space="preserve"> 何巍  发现问题  2022-06-02 10:39:10
邓银鑫  整改  2022-06-08 19:35:28
 已整改
何巍  复检通过  2022-06-09 13:15:31
</t>
  </si>
  <si>
    <t xml:space="preserve">2022-06-08 19:35:32
</t>
  </si>
  <si>
    <t xml:space="preserve">2022-06-09 09:30:19
</t>
  </si>
  <si>
    <t xml:space="preserve"> 何巍  发现问题  2022-06-02 10:39:10
邓银鑫  整改  2022-06-08 19:35:32
 已整改
何巍  复检通过  2022-06-09 09:30:19
</t>
  </si>
  <si>
    <t xml:space="preserve">2022-06-08 19:35:36
</t>
  </si>
  <si>
    <t xml:space="preserve">2022-06-09 09:30:16
</t>
  </si>
  <si>
    <t xml:space="preserve"> 何巍  发现问题  2022-06-02 10:39:10
邓银鑫  整改  2022-06-08 19:35:36
 已整改
何巍  复检通过  2022-06-09 09:30:16
</t>
  </si>
  <si>
    <t>卖场无私人物品，放在统一的固定位置</t>
  </si>
  <si>
    <t>2022-06-01 17:05:56</t>
  </si>
  <si>
    <t xml:space="preserve">2022-06-08 19:35:44
</t>
  </si>
  <si>
    <t>赖习敏</t>
  </si>
  <si>
    <t xml:space="preserve"> 赖习敏  发现问题  2022-06-01 17:05:57
邓银鑫  整改  2022-06-08 19:35:44
 已整改
</t>
  </si>
  <si>
    <t xml:space="preserve">2022-06-08 19:35:39
</t>
  </si>
  <si>
    <t xml:space="preserve"> 赖习敏  发现问题  2022-06-01 17:05:57
邓银鑫  整改  2022-06-08 19:35:39
 已整改
</t>
  </si>
  <si>
    <t>2022-06-04 10:24:19</t>
  </si>
  <si>
    <t xml:space="preserve">2022-06-08 09:42:43
</t>
  </si>
  <si>
    <t xml:space="preserve">2022-06-08 10:47:23
</t>
  </si>
  <si>
    <t xml:space="preserve"> 刘琴英  发现问题  2022-06-04 10:24:19
张雪  整改  2022-06-08 09:42:43
 已陈列
刘琴英  复检通过  2022-06-08 10:47:23
</t>
  </si>
  <si>
    <t>2022-06-02 23:16:38</t>
  </si>
  <si>
    <t xml:space="preserve">2022-06-07 12:01:18
</t>
  </si>
  <si>
    <t xml:space="preserve">2022-06-08 09:29:38
</t>
  </si>
  <si>
    <t xml:space="preserve"> 刘琴英  发现问题  2022-06-02 23:16:38
梁娟  整改  2022-06-07 12:01:18
 已整改
刘琴英  复检通过  2022-06-08 09:29:38
</t>
  </si>
  <si>
    <t>2022-06-04 10:24:13</t>
  </si>
  <si>
    <t xml:space="preserve">2022-06-07 13:09:26
</t>
  </si>
  <si>
    <t xml:space="preserve">2022-06-08 09:29:30
</t>
  </si>
  <si>
    <t xml:space="preserve"> 刘琴英  发现问题  2022-06-04 10:24:13
郭俊梅  整改  2022-06-07 13:09:26
刘琴英  复检通过  2022-06-08 09:29:30
</t>
  </si>
  <si>
    <t>2022-06-04 10:24:16</t>
  </si>
  <si>
    <t xml:space="preserve">2022-06-07 20:12:57
</t>
  </si>
  <si>
    <t xml:space="preserve">2022-06-08 09:29:28
</t>
  </si>
  <si>
    <t xml:space="preserve"> 刘琴英  发现问题  2022-06-04 10:24:16
万雪倩  整改  2022-06-07 20:12:57
刘琴英  复检通过  2022-06-08 09:29:28
</t>
  </si>
  <si>
    <t>2022-06-04 10:24:57</t>
  </si>
  <si>
    <t xml:space="preserve">2022-06-07 12:00:24
</t>
  </si>
  <si>
    <t xml:space="preserve">2022-06-08 09:29:25
</t>
  </si>
  <si>
    <t xml:space="preserve"> 刘琴英  发现问题  2022-06-04 10:24:57
梁娟  整改  2022-06-07 12:00:24
 已整改
刘琴英  复检通过  2022-06-08 09:29:25
</t>
  </si>
  <si>
    <t>2022-06-04 10:25:56</t>
  </si>
  <si>
    <t xml:space="preserve">2022-06-07 20:12:33
</t>
  </si>
  <si>
    <t xml:space="preserve">2022-06-08 09:29:22
</t>
  </si>
  <si>
    <t xml:space="preserve"> 刘琴英  发现问题  2022-06-04 10:25:56
万雪倩  整改  2022-06-07 20:12:33
刘琴英  复检通过  2022-06-08 09:29:22
</t>
  </si>
  <si>
    <t xml:space="preserve">2022-06-07 20:13:52
</t>
  </si>
  <si>
    <t xml:space="preserve">2022-06-08 09:29:20
</t>
  </si>
  <si>
    <t xml:space="preserve"> 刘琴英  发现问题  2022-06-04 10:25:56
万雪倩  整改  2022-06-07 20:13:52
刘琴英  复检通过  2022-06-08 09:29:20
</t>
  </si>
  <si>
    <t xml:space="preserve">2022-06-07 20:15:31
</t>
  </si>
  <si>
    <t xml:space="preserve">2022-06-08 09:29:17
</t>
  </si>
  <si>
    <t xml:space="preserve"> 刘琴英  发现问题  2022-06-04 10:25:56
万雪倩  整改  2022-06-07 20:15:31
刘琴英  复检通过  2022-06-08 09:29:17
</t>
  </si>
  <si>
    <t>2022-06-04 10:26:00</t>
  </si>
  <si>
    <t xml:space="preserve">2022-06-07 13:07:13
</t>
  </si>
  <si>
    <t xml:space="preserve">2022-06-08 09:29:15
</t>
  </si>
  <si>
    <t xml:space="preserve"> 刘琴英  发现问题  2022-06-04 10:26:00
郭俊梅  整改  2022-06-07 13:07:13
刘琴英  复检通过  2022-06-08 09:29:15
</t>
  </si>
  <si>
    <t xml:space="preserve">2022-06-07 13:01:17
</t>
  </si>
  <si>
    <t xml:space="preserve">2022-06-08 09:29:12
</t>
  </si>
  <si>
    <t xml:space="preserve"> 刘琴英  发现问题  2022-06-04 10:26:00
郭俊梅  整改  2022-06-07 13:01:17
刘琴英  复检通过  2022-06-08 09:29:12
</t>
  </si>
  <si>
    <t xml:space="preserve">2022-06-07 12:59:41
</t>
  </si>
  <si>
    <t xml:space="preserve">2022-06-08 09:29:09
</t>
  </si>
  <si>
    <t xml:space="preserve"> 刘琴英  发现问题  2022-06-04 10:26:00
郭俊梅  整改  2022-06-07 12:59:41
刘琴英  复检通过  2022-06-08 09:29:09
</t>
  </si>
  <si>
    <t>2022-06-04 10:27:01</t>
  </si>
  <si>
    <t xml:space="preserve">2022-06-07 12:00:02
</t>
  </si>
  <si>
    <t xml:space="preserve">2022-06-08 09:27:53
</t>
  </si>
  <si>
    <t xml:space="preserve"> 刘琴英  发现问题  2022-06-04 10:27:01
梁娟  整改  2022-06-07 12:00:02
 已整改
刘琴英  复检通过  2022-06-08 09:27:53
</t>
  </si>
  <si>
    <t xml:space="preserve">2022-06-07 11:59:40
</t>
  </si>
  <si>
    <t xml:space="preserve">2022-06-08 09:26:53
</t>
  </si>
  <si>
    <t xml:space="preserve"> 刘琴英  发现问题  2022-06-04 10:27:01
梁娟  整改  2022-06-07 11:59:40
 已整改
刘琴英  复检通过  2022-06-08 09:26:53
</t>
  </si>
  <si>
    <t xml:space="preserve">2022-06-07 12:00:51
</t>
  </si>
  <si>
    <t xml:space="preserve">2022-06-08 09:26:49
</t>
  </si>
  <si>
    <t xml:space="preserve"> 刘琴英  发现问题  2022-06-04 10:27:01
梁娟  整改  2022-06-07 12:00:51
 已整改
刘琴英  复检通过  2022-06-08 09:26:49
</t>
  </si>
  <si>
    <t>2022-06-04 10:26:05</t>
  </si>
  <si>
    <t xml:space="preserve">2022-06-08 09:17:22
</t>
  </si>
  <si>
    <t xml:space="preserve">2022-06-08 09:26:46
</t>
  </si>
  <si>
    <t xml:space="preserve"> 刘琴英  发现问题  2022-06-04 10:26:05
张雪  整改  2022-06-08 09:17:22
 已陈列
刘琴英  复检通过  2022-06-08 09:26:46
</t>
  </si>
  <si>
    <t xml:space="preserve">2022-06-08 09:19:05
</t>
  </si>
  <si>
    <t xml:space="preserve">2022-06-08 09:26:43
</t>
  </si>
  <si>
    <t xml:space="preserve"> 刘琴英  发现问题  2022-06-04 10:26:05
张雪  整改  2022-06-08 09:19:05
 已陈列
刘琴英  复检通过  2022-06-08 09:26:43
</t>
  </si>
  <si>
    <t xml:space="preserve">2022-06-08 09:19:58
</t>
  </si>
  <si>
    <t xml:space="preserve">2022-06-08 09:26:41
</t>
  </si>
  <si>
    <t xml:space="preserve"> 刘琴英  发现问题  2022-06-04 10:26:05
张雪  整改  2022-06-08 09:19:58
 无端架
刘琴英  复检通过  2022-06-08 09:26:41
</t>
  </si>
  <si>
    <t>通盈街药店</t>
  </si>
  <si>
    <t>2022-06-02 10:37:38</t>
  </si>
  <si>
    <t xml:space="preserve">2022-06-07 12:59:40
</t>
  </si>
  <si>
    <t xml:space="preserve">2022-06-07 14:40:32
</t>
  </si>
  <si>
    <t>董华</t>
  </si>
  <si>
    <t xml:space="preserve"> 何巍  发现问题  2022-06-02 10:37:38
董华  整改  2022-06-07 12:59:40
何巍  复检通过  2022-06-07 14:40:32
</t>
  </si>
  <si>
    <t xml:space="preserve">2022-06-07 12:59:59
</t>
  </si>
  <si>
    <t xml:space="preserve">2022-06-07 14:40:30
</t>
  </si>
  <si>
    <t xml:space="preserve"> 何巍  发现问题  2022-06-02 10:37:38
董华  整改  2022-06-07 12:59:59
何巍  复检通过  2022-06-07 14:40:30
</t>
  </si>
  <si>
    <t xml:space="preserve">2022-06-07 13:01:23
</t>
  </si>
  <si>
    <t xml:space="preserve">2022-06-07 14:40:27
</t>
  </si>
  <si>
    <t xml:space="preserve"> 何巍  发现问题  2022-06-02 10:37:38
董华  整改  2022-06-07 13:01:23
何巍  复检通过  2022-06-07 14:40:27
</t>
  </si>
  <si>
    <t>倪家桥路店</t>
  </si>
  <si>
    <t>2022-06-02 10:45:12</t>
  </si>
  <si>
    <t xml:space="preserve">2022-06-07 10:49:05
</t>
  </si>
  <si>
    <t xml:space="preserve">2022-06-07 11:24:02
</t>
  </si>
  <si>
    <t>毛静静</t>
  </si>
  <si>
    <t xml:space="preserve"> 何巍  发现问题  2022-06-02 10:45:12
毛静静  整改  2022-06-07 10:49:05
何巍  复检通过  2022-06-07 11:24:02
</t>
  </si>
  <si>
    <t xml:space="preserve">2022-06-07 10:49:44
</t>
  </si>
  <si>
    <t xml:space="preserve">2022-06-07 11:24:00
</t>
  </si>
  <si>
    <t xml:space="preserve"> 何巍  发现问题  2022-06-02 10:45:12
毛静静  整改  2022-06-07 10:49:44
何巍  复检通过  2022-06-07 11:24:00
</t>
  </si>
  <si>
    <t>2022-06-02 23:16:50</t>
  </si>
  <si>
    <t xml:space="preserve">2022-06-06 20:02:42
</t>
  </si>
  <si>
    <t xml:space="preserve">2022-06-07 09:30:40
</t>
  </si>
  <si>
    <t xml:space="preserve"> 刘琴英  发现问题  2022-06-02 23:16:50
李梦菊  整改  2022-06-06 20:02:42
 已整改
刘琴英  复检通过  2022-06-07 09:30:40
</t>
  </si>
  <si>
    <t>2022-06-01 23:10:41</t>
  </si>
  <si>
    <t xml:space="preserve">2022-06-06 20:02:48
</t>
  </si>
  <si>
    <t xml:space="preserve">2022-06-07 09:30:36
</t>
  </si>
  <si>
    <t xml:space="preserve"> 刘琴英  发现问题  2022-06-01 23:10:41
李梦菊  整改  2022-06-06 20:02:48
 已整改
刘琴英  复检通过  2022-06-07 09:30:36
</t>
  </si>
  <si>
    <t xml:space="preserve">2022-06-06 20:02:55
</t>
  </si>
  <si>
    <t xml:space="preserve">2022-06-07 09:30:30
</t>
  </si>
  <si>
    <t xml:space="preserve"> 刘琴英  发现问题  2022-06-01 23:10:41
李梦菊  整改  2022-06-06 20:02:55
 已整改
刘琴英  复检通过  2022-06-07 09:30:30
</t>
  </si>
  <si>
    <t xml:space="preserve">2022-06-06 20:02:59
</t>
  </si>
  <si>
    <t xml:space="preserve">2022-06-07 09:30:27
</t>
  </si>
  <si>
    <t xml:space="preserve"> 刘琴英  发现问题  2022-06-01 23:10:41
李梦菊  整改  2022-06-06 20:02:59
 已整改
刘琴英  复检通过  2022-06-07 09:30:27
</t>
  </si>
  <si>
    <t>科华街店</t>
  </si>
  <si>
    <t>2022-06-02 10:43:41</t>
  </si>
  <si>
    <t xml:space="preserve">2022-06-06 21:42:35
</t>
  </si>
  <si>
    <t xml:space="preserve">2022-06-07 07:22:29
</t>
  </si>
  <si>
    <t>黄玲</t>
  </si>
  <si>
    <t xml:space="preserve"> 何巍  发现问题  2022-06-02 10:43:42
黄玲  整改  2022-06-06 21:42:35
 已整改请求复检
何巍  复检通过  2022-06-07 07:22:29
</t>
  </si>
  <si>
    <t xml:space="preserve">2022-06-06 21:42:54
</t>
  </si>
  <si>
    <t xml:space="preserve">2022-06-07 07:22:26
</t>
  </si>
  <si>
    <t xml:space="preserve"> 何巍  发现问题  2022-06-02 10:43:42
黄玲  整改  2022-06-06 21:42:54
 已整改请求复检
何巍  复检通过  2022-06-07 07:22:26
</t>
  </si>
  <si>
    <t xml:space="preserve">2022-06-06 21:43:23
</t>
  </si>
  <si>
    <t xml:space="preserve">2022-06-07 07:22:24
</t>
  </si>
  <si>
    <t xml:space="preserve"> 何巍  发现问题  2022-06-02 10:43:41
黄玲  整改  2022-06-06 21:43:23
 已整改请求复检
何巍  复检通过  2022-06-07 07:22:24
</t>
  </si>
  <si>
    <t>浆洗街药店</t>
  </si>
  <si>
    <t>2022-06-02 10:42:03</t>
  </si>
  <si>
    <t xml:space="preserve">2022-06-06 22:10:52
</t>
  </si>
  <si>
    <t xml:space="preserve">2022-06-07 07:22:09
</t>
  </si>
  <si>
    <t xml:space="preserve"> 何巍  发现问题  2022-06-02 10:42:03
毛静静  整改  2022-06-06 22:10:52
何巍  复检通过  2022-06-07 07:22:09
</t>
  </si>
  <si>
    <t>锦江区观音桥街药店</t>
  </si>
  <si>
    <t>2022-06-02 10:42:22</t>
  </si>
  <si>
    <t xml:space="preserve">2022-06-06 14:33:18
</t>
  </si>
  <si>
    <t xml:space="preserve">2022-06-06 16:40:20
</t>
  </si>
  <si>
    <t>袁咏梅</t>
  </si>
  <si>
    <t xml:space="preserve"> 何巍  发现问题  2022-06-02 10:42:22
袁咏梅  整改  2022-06-06 14:33:18
 已整改
何巍  复检通过  2022-06-06 16:40:20
</t>
  </si>
  <si>
    <t xml:space="preserve">2022-06-06 14:33:51
</t>
  </si>
  <si>
    <t xml:space="preserve">2022-06-06 16:40:18
</t>
  </si>
  <si>
    <t xml:space="preserve"> 何巍  发现问题  2022-06-02 10:42:22
袁咏梅  整改  2022-06-06 14:33:51
 已整改
何巍  复检通过  2022-06-06 16:40:18
</t>
  </si>
  <si>
    <t xml:space="preserve">2022-06-06 14:34:22
</t>
  </si>
  <si>
    <t xml:space="preserve">2022-06-06 16:40:13
</t>
  </si>
  <si>
    <t xml:space="preserve"> 何巍  发现问题  2022-06-02 10:42:22
袁咏梅  整改  2022-06-06 14:34:22
 已整改
何巍  复检通过  2022-06-06 16:40:13
</t>
  </si>
  <si>
    <t>2022-06-02 10:41:46</t>
  </si>
  <si>
    <t xml:space="preserve">2022-06-06 09:59:55
</t>
  </si>
  <si>
    <t xml:space="preserve">2022-06-06 11:24:54
</t>
  </si>
  <si>
    <t xml:space="preserve"> 何巍  发现问题  2022-06-02 10:41:46
宋留艺  整改  2022-06-06 09:59:55
 已整改
何巍  复检通过  2022-06-06 11:24:54
</t>
  </si>
  <si>
    <t xml:space="preserve">2022-06-06 10:00:28
</t>
  </si>
  <si>
    <t xml:space="preserve">2022-06-06 11:24:51
</t>
  </si>
  <si>
    <t xml:space="preserve"> 何巍  发现问题  2022-06-02 10:41:46
宋留艺  整改  2022-06-06 10:00:28
 已整改
何巍  复检通过  2022-06-06 11:24:51
</t>
  </si>
  <si>
    <t xml:space="preserve">2022-06-06 10:01:15
</t>
  </si>
  <si>
    <t xml:space="preserve">2022-06-06 11:24:46
</t>
  </si>
  <si>
    <t xml:space="preserve"> 何巍  发现问题  2022-06-02 10:41:46
宋留艺  整改  2022-06-06 10:01:15
 已整改
何巍  复检通过  2022-06-06 11:24:46
</t>
  </si>
  <si>
    <t>2022-06-01 12:06:32</t>
  </si>
  <si>
    <t xml:space="preserve">2022-06-04 22:20:13
</t>
  </si>
  <si>
    <t xml:space="preserve">2022-06-06 09:28:31
</t>
  </si>
  <si>
    <t xml:space="preserve"> 刘琴英  发现问题  2022-06-01 12:06:32
朱晓桃  整改  2022-06-04 22:20:13
 改
刘琴英  复检通过  2022-06-06 09:28:31
</t>
  </si>
  <si>
    <t xml:space="preserve">2022-06-04 22:19:53
</t>
  </si>
  <si>
    <t xml:space="preserve">2022-06-06 09:28:25
</t>
  </si>
  <si>
    <t xml:space="preserve"> 刘琴英  发现问题  2022-06-01 12:06:33
朱晓桃  整改  2022-06-04 22:19:53
 改
刘琴英  复检通过  2022-06-06 09:28:25
</t>
  </si>
  <si>
    <t xml:space="preserve">2022-06-04 22:18:39
</t>
  </si>
  <si>
    <t xml:space="preserve">2022-06-06 09:28:22
</t>
  </si>
  <si>
    <t xml:space="preserve"> 刘琴英  发现问题  2022-06-01 12:06:33
朱晓桃  整改  2022-06-04 22:18:39
 改
刘琴英  复检通过  2022-06-06 09:28:22
</t>
  </si>
  <si>
    <t xml:space="preserve">2022-06-04 22:18:05
</t>
  </si>
  <si>
    <t xml:space="preserve">2022-06-06 09:28:20
</t>
  </si>
  <si>
    <t xml:space="preserve"> 刘琴英  发现问题  2022-06-01 12:06:33
朱晓桃  整改  2022-06-04 22:18:05
 改
刘琴英  复检通过  2022-06-06 09:28:20
</t>
  </si>
  <si>
    <t>2022-06-01 23:10:50</t>
  </si>
  <si>
    <t xml:space="preserve">2022-06-04 22:17:22
</t>
  </si>
  <si>
    <t xml:space="preserve">2022-06-06 09:28:18
</t>
  </si>
  <si>
    <t xml:space="preserve"> 刘琴英  发现问题  2022-06-01 23:10:50
朱晓桃  整改  2022-06-04 22:17:22
 改
刘琴英  复检通过  2022-06-06 09:28:18
</t>
  </si>
  <si>
    <t xml:space="preserve">2022-06-04 22:17:09
</t>
  </si>
  <si>
    <t xml:space="preserve">2022-06-06 09:28:15
</t>
  </si>
  <si>
    <t xml:space="preserve"> 刘琴英  发现问题  2022-06-01 23:10:51
朱晓桃  整改  2022-06-04 22:17:09
 改
刘琴英  复检通过  2022-06-06 09:28:15
</t>
  </si>
  <si>
    <t xml:space="preserve">2022-06-04 22:16:46
</t>
  </si>
  <si>
    <t xml:space="preserve">2022-06-06 09:28:13
</t>
  </si>
  <si>
    <t xml:space="preserve"> 刘琴英  发现问题  2022-06-01 23:10:51
朱晓桃  整改  2022-06-04 22:16:46
 改
刘琴英  复检通过  2022-06-06 09:28:13
</t>
  </si>
  <si>
    <t>2022-06-01 23:09:20</t>
  </si>
  <si>
    <t xml:space="preserve">2022-06-05 15:46:17
</t>
  </si>
  <si>
    <t xml:space="preserve">2022-06-06 09:26:52
</t>
  </si>
  <si>
    <t xml:space="preserve"> 刘琴英  发现问题  2022-06-01 23:09:20
黄焰  整改  2022-06-05 15:46:17
 已整改
刘琴英  复检通过  2022-06-06 09:26:52
</t>
  </si>
  <si>
    <t xml:space="preserve">2022-06-05 15:47:20
</t>
  </si>
  <si>
    <t xml:space="preserve">2022-06-06 09:26:49
</t>
  </si>
  <si>
    <t xml:space="preserve"> 刘琴英  发现问题  2022-06-01 23:09:20
黄焰  整改  2022-06-05 15:47:20
 已整改
刘琴英  复检通过  2022-06-06 09:26:49
</t>
  </si>
  <si>
    <t xml:space="preserve">2022-06-05 15:48:08
</t>
  </si>
  <si>
    <t xml:space="preserve">2022-06-06 09:26:47
</t>
  </si>
  <si>
    <t xml:space="preserve"> 刘琴英  发现问题  2022-06-01 23:09:20
黄焰  整改  2022-06-05 15:48:08
 已整改
刘琴英  复检通过  2022-06-06 09:26:47
</t>
  </si>
  <si>
    <t>2022-06-02 23:16:20</t>
  </si>
  <si>
    <t xml:space="preserve">2022-06-05 15:32:37
</t>
  </si>
  <si>
    <t xml:space="preserve">2022-06-06 09:25:49
</t>
  </si>
  <si>
    <t xml:space="preserve"> 刘琴英  发现问题  2022-06-02 23:16:20
黄焰  整改  2022-06-05 15:32:37
 已整改
刘琴英  复检通过  2022-06-06 09:25:49
</t>
  </si>
  <si>
    <t>2022-06-02 23:16:31</t>
  </si>
  <si>
    <t xml:space="preserve">2022-06-04 22:15:51
</t>
  </si>
  <si>
    <t xml:space="preserve">2022-06-06 09:25:46
</t>
  </si>
  <si>
    <t xml:space="preserve"> 刘琴英  发现问题  2022-06-02 23:16:31
朱晓桃  整改  2022-06-04 22:15:51
 改
刘琴英  复检通过  2022-06-06 09:25:46
</t>
  </si>
  <si>
    <t>土龙路药店</t>
  </si>
  <si>
    <t>2022-06-02 23:16:14</t>
  </si>
  <si>
    <t xml:space="preserve">2022-06-06 08:37:26
</t>
  </si>
  <si>
    <t xml:space="preserve">2022-06-06 09:25:44
</t>
  </si>
  <si>
    <t>刘新</t>
  </si>
  <si>
    <t xml:space="preserve"> 刘琴英  发现问题  2022-06-02 23:16:14
刘新  整改  2022-06-06 08:37:26
 爱心药箱等整改
刘琴英  复检通过  2022-06-06 09:25:44
</t>
  </si>
  <si>
    <t>免费品饮（新鲜茶饮、干净整洁）</t>
  </si>
  <si>
    <t xml:space="preserve">2022-06-04 19:19:34
</t>
  </si>
  <si>
    <t xml:space="preserve"> 赖习敏  发现问题  2022-06-01 17:05:57
邓银鑫  整改  2022-06-04 19:19:34
</t>
  </si>
  <si>
    <t>轮椅七天免费使用标示（两张）</t>
  </si>
  <si>
    <t xml:space="preserve">2022-06-04 19:19:30
</t>
  </si>
  <si>
    <t xml:space="preserve"> 赖习敏  发现问题  2022-06-01 17:05:57
邓银鑫  整改  2022-06-04 19:19:30
</t>
  </si>
  <si>
    <t>片区</t>
  </si>
  <si>
    <t>计数项:过期原因</t>
  </si>
  <si>
    <t>处罚金额</t>
  </si>
  <si>
    <t>总计</t>
  </si>
  <si>
    <t>查看图片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</si>
</sst>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12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1" borderId="3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9" fillId="15" borderId="2" applyNumberFormat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4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0" fillId="3" borderId="1" xfId="0" applyFont="1" applyFill="1" applyBorder="1">
      <alignment vertical="center"/>
    </xf>
    <xf numFmtId="0" fontId="0" fillId="0" borderId="1" xfId="0" applyNumberFormat="1" applyFont="1" applyBorder="1">
      <alignment vertical="center"/>
    </xf>
    <xf numFmtId="0" fontId="0" fillId="3" borderId="1" xfId="0" applyNumberFormat="1" applyFont="1" applyFill="1" applyBorder="1">
      <alignment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2022&#24180;6&#26376;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C2">
            <v>307</v>
          </cell>
          <cell r="D2" t="str">
            <v>四川太极旗舰店</v>
          </cell>
          <cell r="E2" t="str">
            <v>旗舰片区</v>
          </cell>
        </row>
        <row r="3">
          <cell r="C3">
            <v>582</v>
          </cell>
          <cell r="D3" t="str">
            <v>四川太极青羊区十二桥药店</v>
          </cell>
          <cell r="E3" t="str">
            <v>西门一片</v>
          </cell>
        </row>
        <row r="4">
          <cell r="C4">
            <v>517</v>
          </cell>
          <cell r="D4" t="str">
            <v>四川太极青羊区北东街店</v>
          </cell>
          <cell r="E4" t="str">
            <v>城中片</v>
          </cell>
        </row>
        <row r="5">
          <cell r="C5">
            <v>114685</v>
          </cell>
          <cell r="D5" t="str">
            <v>四川太极青羊区青龙街药店</v>
          </cell>
          <cell r="E5" t="str">
            <v>城中片</v>
          </cell>
        </row>
        <row r="6">
          <cell r="C6">
            <v>337</v>
          </cell>
          <cell r="D6" t="str">
            <v>四川太极浆洗街药店</v>
          </cell>
          <cell r="E6" t="str">
            <v>城中片</v>
          </cell>
        </row>
        <row r="7">
          <cell r="C7">
            <v>750</v>
          </cell>
          <cell r="D7" t="str">
            <v>成都成汉太极大药房有限公司</v>
          </cell>
          <cell r="E7" t="str">
            <v>旗舰片区</v>
          </cell>
        </row>
        <row r="8">
          <cell r="C8">
            <v>343</v>
          </cell>
          <cell r="D8" t="str">
            <v>四川太极光华药店</v>
          </cell>
          <cell r="E8" t="str">
            <v>西门一片</v>
          </cell>
        </row>
        <row r="9">
          <cell r="C9">
            <v>385</v>
          </cell>
          <cell r="D9" t="str">
            <v>四川太极五津西路药店</v>
          </cell>
          <cell r="E9" t="str">
            <v>新津片</v>
          </cell>
        </row>
        <row r="10">
          <cell r="C10">
            <v>571</v>
          </cell>
          <cell r="D10" t="str">
            <v>四川太极高新区锦城大道药店</v>
          </cell>
          <cell r="E10" t="str">
            <v>东南片区</v>
          </cell>
        </row>
        <row r="11">
          <cell r="C11">
            <v>742</v>
          </cell>
          <cell r="D11" t="str">
            <v>四川太极锦江区庆云南街药店</v>
          </cell>
          <cell r="E11" t="str">
            <v>旗舰片区</v>
          </cell>
        </row>
        <row r="12">
          <cell r="C12">
            <v>365</v>
          </cell>
          <cell r="D12" t="str">
            <v>四川太极光华村街药店</v>
          </cell>
          <cell r="E12" t="str">
            <v>西门一片</v>
          </cell>
        </row>
        <row r="13">
          <cell r="C13">
            <v>117491</v>
          </cell>
          <cell r="D13" t="str">
            <v>四川太极金牛区花照壁中横街药店</v>
          </cell>
          <cell r="E13" t="str">
            <v>西门一片</v>
          </cell>
        </row>
        <row r="14">
          <cell r="C14">
            <v>707</v>
          </cell>
          <cell r="D14" t="str">
            <v>四川太极成华区万科路药店</v>
          </cell>
          <cell r="E14" t="str">
            <v>东南片区</v>
          </cell>
        </row>
        <row r="15">
          <cell r="C15">
            <v>341</v>
          </cell>
          <cell r="D15" t="str">
            <v>四川太极邛崃中心药店</v>
          </cell>
          <cell r="E15" t="str">
            <v>城郊一片</v>
          </cell>
        </row>
        <row r="16">
          <cell r="C16">
            <v>730</v>
          </cell>
          <cell r="D16" t="str">
            <v>四川太极新都区新繁镇繁江北路药店</v>
          </cell>
          <cell r="E16" t="str">
            <v>北门片</v>
          </cell>
        </row>
        <row r="17">
          <cell r="C17">
            <v>546</v>
          </cell>
          <cell r="D17" t="str">
            <v>四川太极锦江区榕声路店</v>
          </cell>
          <cell r="E17" t="str">
            <v>城中片</v>
          </cell>
        </row>
        <row r="18">
          <cell r="C18">
            <v>737</v>
          </cell>
          <cell r="D18" t="str">
            <v>四川太极高新区大源北街药店</v>
          </cell>
          <cell r="E18" t="str">
            <v>东南片区</v>
          </cell>
        </row>
        <row r="19">
          <cell r="C19">
            <v>712</v>
          </cell>
          <cell r="D19" t="str">
            <v>四川太极成华区华泰路药店</v>
          </cell>
          <cell r="E19" t="str">
            <v>东南片区</v>
          </cell>
        </row>
        <row r="20">
          <cell r="C20">
            <v>373</v>
          </cell>
          <cell r="D20" t="str">
            <v>四川太极通盈街药店</v>
          </cell>
          <cell r="E20" t="str">
            <v>城中片</v>
          </cell>
        </row>
        <row r="21">
          <cell r="C21">
            <v>107658</v>
          </cell>
          <cell r="D21" t="str">
            <v>四川太极新都区新都街道万和北路药店</v>
          </cell>
          <cell r="E21" t="str">
            <v>北门片</v>
          </cell>
        </row>
        <row r="22">
          <cell r="C22">
            <v>359</v>
          </cell>
          <cell r="D22" t="str">
            <v>四川太极枣子巷药店</v>
          </cell>
          <cell r="E22" t="str">
            <v>西门一片</v>
          </cell>
        </row>
        <row r="23">
          <cell r="C23">
            <v>585</v>
          </cell>
          <cell r="D23" t="str">
            <v>四川太极成华区羊子山西路药店（兴元华盛）</v>
          </cell>
          <cell r="E23" t="str">
            <v>北门片</v>
          </cell>
        </row>
        <row r="24">
          <cell r="C24">
            <v>114844</v>
          </cell>
          <cell r="D24" t="str">
            <v>四川太极成华区培华东路药店</v>
          </cell>
          <cell r="E24" t="str">
            <v>城中片</v>
          </cell>
        </row>
        <row r="25">
          <cell r="C25">
            <v>511</v>
          </cell>
          <cell r="D25" t="str">
            <v>四川太极成华杉板桥南一路店</v>
          </cell>
          <cell r="E25" t="str">
            <v>城中片</v>
          </cell>
        </row>
        <row r="26">
          <cell r="C26">
            <v>724</v>
          </cell>
          <cell r="D26" t="str">
            <v>四川太极锦江区观音桥街药店</v>
          </cell>
          <cell r="E26" t="str">
            <v>城中片</v>
          </cell>
        </row>
        <row r="27">
          <cell r="C27">
            <v>514</v>
          </cell>
          <cell r="D27" t="str">
            <v>四川太极新津邓双镇岷江店</v>
          </cell>
          <cell r="E27" t="str">
            <v>新津片</v>
          </cell>
        </row>
        <row r="28">
          <cell r="C28">
            <v>581</v>
          </cell>
          <cell r="D28" t="str">
            <v>四川太极成华区二环路北四段药店（汇融名城）</v>
          </cell>
          <cell r="E28" t="str">
            <v>北门片</v>
          </cell>
        </row>
        <row r="29">
          <cell r="C29">
            <v>578</v>
          </cell>
          <cell r="D29" t="str">
            <v>四川太极成华区华油路药店</v>
          </cell>
          <cell r="E29" t="str">
            <v>北门片</v>
          </cell>
        </row>
        <row r="30">
          <cell r="C30">
            <v>106066</v>
          </cell>
          <cell r="D30" t="str">
            <v>四川太极锦江区梨花街药店</v>
          </cell>
          <cell r="E30" t="str">
            <v>旗舰片区</v>
          </cell>
        </row>
        <row r="31">
          <cell r="C31">
            <v>357</v>
          </cell>
          <cell r="D31" t="str">
            <v>四川太极清江东路药店</v>
          </cell>
          <cell r="E31" t="str">
            <v>西门一片</v>
          </cell>
        </row>
        <row r="32">
          <cell r="C32">
            <v>379</v>
          </cell>
          <cell r="D32" t="str">
            <v>四川太极土龙路药店</v>
          </cell>
          <cell r="E32" t="str">
            <v>西门一片</v>
          </cell>
        </row>
        <row r="33">
          <cell r="C33">
            <v>102934</v>
          </cell>
          <cell r="D33" t="str">
            <v>四川太极金牛区银河北街药店</v>
          </cell>
          <cell r="E33" t="str">
            <v>西门一片</v>
          </cell>
        </row>
        <row r="34">
          <cell r="C34">
            <v>108656</v>
          </cell>
          <cell r="D34" t="str">
            <v>四川太极新津县五津镇五津西路二药房</v>
          </cell>
          <cell r="E34" t="str">
            <v>新津片</v>
          </cell>
        </row>
        <row r="35">
          <cell r="C35">
            <v>744</v>
          </cell>
          <cell r="D35" t="str">
            <v>四川太极武侯区科华街药店</v>
          </cell>
          <cell r="E35" t="str">
            <v>城中片</v>
          </cell>
        </row>
        <row r="36">
          <cell r="C36">
            <v>391</v>
          </cell>
          <cell r="D36" t="str">
            <v>四川太极金丝街药店</v>
          </cell>
          <cell r="E36" t="str">
            <v>城中片</v>
          </cell>
        </row>
        <row r="37">
          <cell r="C37">
            <v>513</v>
          </cell>
          <cell r="D37" t="str">
            <v>四川太极武侯区顺和街店</v>
          </cell>
          <cell r="E37" t="str">
            <v>西门一片</v>
          </cell>
        </row>
        <row r="38">
          <cell r="C38">
            <v>377</v>
          </cell>
          <cell r="D38" t="str">
            <v>四川太极新园大道药店</v>
          </cell>
          <cell r="E38" t="str">
            <v>东南片区</v>
          </cell>
        </row>
        <row r="39">
          <cell r="C39">
            <v>726</v>
          </cell>
          <cell r="D39" t="str">
            <v>四川太极金牛区交大路第三药店</v>
          </cell>
          <cell r="E39" t="str">
            <v>西门一片</v>
          </cell>
        </row>
        <row r="40">
          <cell r="C40">
            <v>114622</v>
          </cell>
          <cell r="D40" t="str">
            <v>四川太极成华区东昌路一药店</v>
          </cell>
          <cell r="E40" t="str">
            <v>北门片</v>
          </cell>
        </row>
        <row r="41">
          <cell r="C41">
            <v>111400</v>
          </cell>
          <cell r="D41" t="str">
            <v>四川太极邛崃市文君街道杏林路药店</v>
          </cell>
          <cell r="E41" t="str">
            <v>城郊一片</v>
          </cell>
        </row>
        <row r="42">
          <cell r="C42">
            <v>54</v>
          </cell>
          <cell r="D42" t="str">
            <v>四川太极怀远店</v>
          </cell>
          <cell r="E42" t="str">
            <v>崇州片</v>
          </cell>
        </row>
        <row r="43">
          <cell r="C43">
            <v>118074</v>
          </cell>
          <cell r="D43" t="str">
            <v>四川太极高新区泰和二街药店</v>
          </cell>
          <cell r="E43" t="str">
            <v>东南片区</v>
          </cell>
        </row>
        <row r="44">
          <cell r="C44">
            <v>106399</v>
          </cell>
          <cell r="D44" t="str">
            <v>四川太极青羊区蜀辉路药店</v>
          </cell>
          <cell r="E44" t="str">
            <v>西门二片</v>
          </cell>
        </row>
        <row r="45">
          <cell r="C45">
            <v>387</v>
          </cell>
          <cell r="D45" t="str">
            <v>四川太极新乐中街药店</v>
          </cell>
          <cell r="E45" t="str">
            <v>东南片区</v>
          </cell>
        </row>
        <row r="46">
          <cell r="C46">
            <v>747</v>
          </cell>
          <cell r="D46" t="str">
            <v>四川太极郫县郫筒镇一环路东南段药店</v>
          </cell>
          <cell r="E46" t="str">
            <v>城中片</v>
          </cell>
        </row>
        <row r="47">
          <cell r="C47">
            <v>103198</v>
          </cell>
          <cell r="D47" t="str">
            <v>四川太极青羊区贝森北路药店</v>
          </cell>
          <cell r="E47" t="str">
            <v>西门一片</v>
          </cell>
        </row>
        <row r="48">
          <cell r="C48">
            <v>106569</v>
          </cell>
          <cell r="D48" t="str">
            <v>四川太极武侯区大悦路药店</v>
          </cell>
          <cell r="E48" t="str">
            <v>西门一片</v>
          </cell>
        </row>
        <row r="49">
          <cell r="C49">
            <v>329</v>
          </cell>
          <cell r="D49" t="str">
            <v>四川太极温江店</v>
          </cell>
          <cell r="E49" t="str">
            <v>西门二片</v>
          </cell>
        </row>
        <row r="50">
          <cell r="C50">
            <v>111219</v>
          </cell>
          <cell r="D50" t="str">
            <v>四川太极金牛区花照壁药店</v>
          </cell>
          <cell r="E50" t="str">
            <v>西门一片</v>
          </cell>
        </row>
        <row r="51">
          <cell r="C51">
            <v>709</v>
          </cell>
          <cell r="D51" t="str">
            <v>四川太极新都区马超东路店</v>
          </cell>
          <cell r="E51" t="str">
            <v>北门片</v>
          </cell>
        </row>
        <row r="52">
          <cell r="C52">
            <v>105267</v>
          </cell>
          <cell r="D52" t="str">
            <v>四川太极金牛区蜀汉路药店</v>
          </cell>
          <cell r="E52" t="str">
            <v>西门一片</v>
          </cell>
        </row>
        <row r="53">
          <cell r="C53">
            <v>745</v>
          </cell>
          <cell r="D53" t="str">
            <v>四川太极金牛区金沙路药店</v>
          </cell>
          <cell r="E53" t="str">
            <v>西门一片</v>
          </cell>
        </row>
        <row r="54">
          <cell r="C54">
            <v>746</v>
          </cell>
          <cell r="D54" t="str">
            <v>四川太极大邑县晋原镇内蒙古大道桃源药店</v>
          </cell>
          <cell r="E54" t="str">
            <v>城郊一片</v>
          </cell>
        </row>
        <row r="55">
          <cell r="C55">
            <v>103199</v>
          </cell>
          <cell r="D55" t="str">
            <v>四川太极成华区西林一街药店</v>
          </cell>
          <cell r="E55" t="str">
            <v>北门片</v>
          </cell>
        </row>
        <row r="56">
          <cell r="C56">
            <v>311</v>
          </cell>
          <cell r="D56" t="str">
            <v>四川太极西部店</v>
          </cell>
          <cell r="E56" t="str">
            <v>北门片</v>
          </cell>
        </row>
        <row r="57">
          <cell r="C57">
            <v>515</v>
          </cell>
          <cell r="D57" t="str">
            <v>四川太极成华区崔家店路药店</v>
          </cell>
          <cell r="E57" t="str">
            <v>城中片</v>
          </cell>
        </row>
        <row r="58">
          <cell r="C58">
            <v>116919</v>
          </cell>
          <cell r="D58" t="str">
            <v>四川太极武侯区科华北路药店</v>
          </cell>
          <cell r="E58" t="str">
            <v>旗舰片区</v>
          </cell>
        </row>
        <row r="59">
          <cell r="C59">
            <v>120844</v>
          </cell>
          <cell r="D59" t="str">
            <v>四川太极彭州市致和镇南三环路药店</v>
          </cell>
          <cell r="E59" t="str">
            <v>北门片</v>
          </cell>
        </row>
        <row r="60">
          <cell r="C60">
            <v>108277</v>
          </cell>
          <cell r="D60" t="str">
            <v>四川太极金牛区银沙路药店</v>
          </cell>
          <cell r="E60" t="str">
            <v>西门一片</v>
          </cell>
        </row>
        <row r="61">
          <cell r="C61">
            <v>114286</v>
          </cell>
          <cell r="D61" t="str">
            <v>四川太极青羊区光华北五路药店</v>
          </cell>
          <cell r="E61" t="str">
            <v>西门二片</v>
          </cell>
        </row>
        <row r="62">
          <cell r="C62">
            <v>102565</v>
          </cell>
          <cell r="D62" t="str">
            <v>四川太极武侯区佳灵路药店</v>
          </cell>
          <cell r="E62" t="str">
            <v>西门一片</v>
          </cell>
        </row>
        <row r="63">
          <cell r="C63">
            <v>101453</v>
          </cell>
          <cell r="D63" t="str">
            <v>四川太极温江区公平街道江安路药店</v>
          </cell>
          <cell r="E63" t="str">
            <v>西门二片</v>
          </cell>
        </row>
        <row r="64">
          <cell r="C64">
            <v>716</v>
          </cell>
          <cell r="D64" t="str">
            <v>四川太极大邑县沙渠镇方圆路药店</v>
          </cell>
          <cell r="E64" t="str">
            <v>城郊一片</v>
          </cell>
        </row>
        <row r="65">
          <cell r="C65">
            <v>721</v>
          </cell>
          <cell r="D65" t="str">
            <v>四川太极邛崃市临邛镇洪川小区药店</v>
          </cell>
          <cell r="E65" t="str">
            <v>城郊一片</v>
          </cell>
        </row>
        <row r="66">
          <cell r="C66">
            <v>598</v>
          </cell>
          <cell r="D66" t="str">
            <v>四川太极锦江区水杉街药店</v>
          </cell>
          <cell r="E66" t="str">
            <v>城中片</v>
          </cell>
        </row>
        <row r="67">
          <cell r="C67">
            <v>539</v>
          </cell>
          <cell r="D67" t="str">
            <v>四川太极大邑县晋原镇子龙路店</v>
          </cell>
          <cell r="E67" t="str">
            <v>城郊一片</v>
          </cell>
        </row>
        <row r="68">
          <cell r="C68">
            <v>117184</v>
          </cell>
          <cell r="D68" t="str">
            <v>四川太极锦江区静沙南路药店</v>
          </cell>
          <cell r="E68" t="str">
            <v>城中片</v>
          </cell>
        </row>
        <row r="69">
          <cell r="C69">
            <v>106485</v>
          </cell>
          <cell r="D69" t="str">
            <v>四川太极成都高新区元华二巷药店</v>
          </cell>
          <cell r="E69" t="str">
            <v>旗舰片区</v>
          </cell>
        </row>
        <row r="70">
          <cell r="C70">
            <v>717</v>
          </cell>
          <cell r="D70" t="str">
            <v>四川太极大邑县晋原镇通达东路五段药店</v>
          </cell>
          <cell r="E70" t="str">
            <v>城郊一片</v>
          </cell>
        </row>
        <row r="71">
          <cell r="C71">
            <v>117310</v>
          </cell>
          <cell r="D71" t="str">
            <v>四川太极武侯区长寿路药店</v>
          </cell>
          <cell r="E71" t="str">
            <v>西门一片</v>
          </cell>
        </row>
        <row r="72">
          <cell r="C72">
            <v>105751</v>
          </cell>
          <cell r="D72" t="str">
            <v>四川太极高新区新下街药店</v>
          </cell>
          <cell r="E72" t="str">
            <v>东南片区</v>
          </cell>
        </row>
        <row r="73">
          <cell r="C73">
            <v>104428</v>
          </cell>
          <cell r="D73" t="str">
            <v>四川太极崇州市崇阳镇永康东路药店 </v>
          </cell>
          <cell r="E73" t="str">
            <v>崇州片</v>
          </cell>
        </row>
        <row r="74">
          <cell r="C74">
            <v>587</v>
          </cell>
          <cell r="D74" t="str">
            <v>四川太极都江堰景中路店</v>
          </cell>
          <cell r="E74" t="str">
            <v>都江堰片</v>
          </cell>
        </row>
        <row r="75">
          <cell r="C75">
            <v>107728</v>
          </cell>
          <cell r="D75" t="str">
            <v>四川太极大邑县晋原镇北街药店</v>
          </cell>
          <cell r="E75" t="str">
            <v>城郊一片</v>
          </cell>
        </row>
        <row r="76">
          <cell r="C76">
            <v>572</v>
          </cell>
          <cell r="D76" t="str">
            <v>四川太极郫县郫筒镇东大街药店</v>
          </cell>
          <cell r="E76" t="str">
            <v>城中片</v>
          </cell>
        </row>
        <row r="77">
          <cell r="C77">
            <v>105910</v>
          </cell>
          <cell r="D77" t="str">
            <v>四川太极高新区紫薇东路药店</v>
          </cell>
          <cell r="E77" t="str">
            <v>西门一片</v>
          </cell>
        </row>
        <row r="78">
          <cell r="C78">
            <v>103639</v>
          </cell>
          <cell r="D78" t="str">
            <v>四川太极成华区金马河路药店</v>
          </cell>
          <cell r="E78" t="str">
            <v>东南片区</v>
          </cell>
        </row>
        <row r="79">
          <cell r="C79">
            <v>355</v>
          </cell>
          <cell r="D79" t="str">
            <v>四川太极双林路药店</v>
          </cell>
          <cell r="E79" t="str">
            <v>城中片</v>
          </cell>
        </row>
        <row r="80">
          <cell r="C80">
            <v>113008</v>
          </cell>
          <cell r="D80" t="str">
            <v>四川太极成都高新区尚锦路药店</v>
          </cell>
          <cell r="E80" t="str">
            <v>城中片</v>
          </cell>
        </row>
        <row r="81">
          <cell r="C81">
            <v>743</v>
          </cell>
          <cell r="D81" t="str">
            <v>四川太极成华区万宇路药店</v>
          </cell>
          <cell r="E81" t="str">
            <v>东南片区</v>
          </cell>
        </row>
        <row r="82">
          <cell r="C82">
            <v>399</v>
          </cell>
          <cell r="D82" t="str">
            <v>四川太极高新天久北巷药店</v>
          </cell>
          <cell r="E82" t="str">
            <v>西门一片</v>
          </cell>
        </row>
        <row r="83">
          <cell r="C83">
            <v>308</v>
          </cell>
          <cell r="D83" t="str">
            <v>四川太极红星店</v>
          </cell>
          <cell r="E83" t="str">
            <v>北门片</v>
          </cell>
        </row>
        <row r="84">
          <cell r="C84">
            <v>723</v>
          </cell>
          <cell r="D84" t="str">
            <v>四川太极锦江区柳翠路药店</v>
          </cell>
          <cell r="E84" t="str">
            <v>城中片</v>
          </cell>
        </row>
        <row r="85">
          <cell r="C85">
            <v>594</v>
          </cell>
          <cell r="D85" t="str">
            <v>四川太极大邑县安仁镇千禧街药店</v>
          </cell>
          <cell r="E85" t="str">
            <v>城郊一片</v>
          </cell>
        </row>
        <row r="86">
          <cell r="C86">
            <v>704</v>
          </cell>
          <cell r="D86" t="str">
            <v>四川太极都江堰奎光路中段药店</v>
          </cell>
          <cell r="E86" t="str">
            <v>都江堰片</v>
          </cell>
        </row>
        <row r="87">
          <cell r="C87">
            <v>112415</v>
          </cell>
          <cell r="D87" t="str">
            <v>四川太极金牛区五福桥东路药店</v>
          </cell>
          <cell r="E87" t="str">
            <v>北门片</v>
          </cell>
        </row>
        <row r="88">
          <cell r="C88">
            <v>122198</v>
          </cell>
          <cell r="D88" t="str">
            <v>四川太极成华区华泰路二药店</v>
          </cell>
          <cell r="E88" t="str">
            <v>东南片区</v>
          </cell>
        </row>
        <row r="89">
          <cell r="C89">
            <v>116482</v>
          </cell>
          <cell r="D89" t="str">
            <v>四川太极锦江区宏济中路药店</v>
          </cell>
          <cell r="E89" t="str">
            <v>城中片</v>
          </cell>
        </row>
        <row r="90">
          <cell r="C90">
            <v>367</v>
          </cell>
          <cell r="D90" t="str">
            <v>四川太极金带街药店</v>
          </cell>
          <cell r="E90" t="str">
            <v>崇州片</v>
          </cell>
        </row>
        <row r="91">
          <cell r="C91">
            <v>118151</v>
          </cell>
          <cell r="D91" t="str">
            <v>四川太极金牛区沙湾东一路药店</v>
          </cell>
          <cell r="E91" t="str">
            <v>西门一片</v>
          </cell>
        </row>
        <row r="92">
          <cell r="C92">
            <v>740</v>
          </cell>
          <cell r="D92" t="str">
            <v>四川太极成华区华康路药店</v>
          </cell>
          <cell r="E92" t="str">
            <v>东南片区</v>
          </cell>
        </row>
        <row r="93">
          <cell r="C93">
            <v>104430</v>
          </cell>
          <cell r="D93" t="str">
            <v>四川太极高新区中和大道药店</v>
          </cell>
          <cell r="E93" t="str">
            <v>东南片区</v>
          </cell>
        </row>
        <row r="94">
          <cell r="C94">
            <v>748</v>
          </cell>
          <cell r="D94" t="str">
            <v>四川太极大邑县晋原镇东街药店</v>
          </cell>
          <cell r="E94" t="str">
            <v>城郊一片</v>
          </cell>
        </row>
        <row r="95">
          <cell r="C95">
            <v>106865</v>
          </cell>
          <cell r="D95" t="str">
            <v>四川太极武侯区丝竹路药店</v>
          </cell>
          <cell r="E95" t="str">
            <v>旗舰片区</v>
          </cell>
        </row>
        <row r="96">
          <cell r="C96">
            <v>727</v>
          </cell>
          <cell r="D96" t="str">
            <v>四川太极金牛区黄苑东街药店</v>
          </cell>
          <cell r="E96" t="str">
            <v>西门一片</v>
          </cell>
        </row>
        <row r="97">
          <cell r="C97">
            <v>752</v>
          </cell>
          <cell r="D97" t="str">
            <v>四川太极大药房连锁有限公司武侯区聚萃街药店</v>
          </cell>
          <cell r="E97" t="str">
            <v>西门二片</v>
          </cell>
        </row>
        <row r="98">
          <cell r="C98">
            <v>102479</v>
          </cell>
          <cell r="D98" t="str">
            <v>四川太极锦江区劼人路药店</v>
          </cell>
          <cell r="E98" t="str">
            <v>城中片</v>
          </cell>
        </row>
        <row r="99">
          <cell r="C99">
            <v>710</v>
          </cell>
          <cell r="D99" t="str">
            <v>四川太极都江堰市蒲阳镇堰问道西路药店</v>
          </cell>
          <cell r="E99" t="str">
            <v>都江堰片</v>
          </cell>
        </row>
        <row r="100">
          <cell r="C100">
            <v>113299</v>
          </cell>
          <cell r="D100" t="str">
            <v>四川太极武侯区倪家桥路药店</v>
          </cell>
          <cell r="E100" t="str">
            <v>城中片</v>
          </cell>
        </row>
        <row r="101">
          <cell r="C101">
            <v>733</v>
          </cell>
          <cell r="D101" t="str">
            <v>四川太极双流区东升街道三强西路药店</v>
          </cell>
          <cell r="E101" t="str">
            <v>东南片区</v>
          </cell>
        </row>
        <row r="102">
          <cell r="C102">
            <v>720</v>
          </cell>
          <cell r="D102" t="str">
            <v>四川太极大邑县新场镇文昌街药店</v>
          </cell>
          <cell r="E102" t="str">
            <v>城郊一片</v>
          </cell>
        </row>
        <row r="103">
          <cell r="C103">
            <v>102564</v>
          </cell>
          <cell r="D103" t="str">
            <v>四川太极邛崃市临邛镇翠荫街药店</v>
          </cell>
          <cell r="E103" t="str">
            <v>城郊一片</v>
          </cell>
        </row>
        <row r="104">
          <cell r="C104">
            <v>113025</v>
          </cell>
          <cell r="D104" t="str">
            <v>四川太极青羊区蜀鑫路药店</v>
          </cell>
          <cell r="E104" t="str">
            <v>西门二片</v>
          </cell>
        </row>
        <row r="105">
          <cell r="C105">
            <v>118951</v>
          </cell>
          <cell r="D105" t="str">
            <v>四川太极青羊区金祥路药店</v>
          </cell>
          <cell r="E105" t="str">
            <v>西门二片</v>
          </cell>
        </row>
        <row r="106">
          <cell r="C106">
            <v>754</v>
          </cell>
          <cell r="D106" t="str">
            <v>四川太极崇州市崇阳镇尚贤坊街药店</v>
          </cell>
          <cell r="E106" t="str">
            <v>崇州片</v>
          </cell>
        </row>
        <row r="107">
          <cell r="C107">
            <v>113833</v>
          </cell>
          <cell r="D107" t="str">
            <v>四川太极青羊区光华西一路药店</v>
          </cell>
          <cell r="E107" t="str">
            <v>西门二片</v>
          </cell>
        </row>
        <row r="108">
          <cell r="C108">
            <v>738</v>
          </cell>
          <cell r="D108" t="str">
            <v>四川太极都江堰市蒲阳路药店</v>
          </cell>
          <cell r="E108" t="str">
            <v>都江堰片</v>
          </cell>
        </row>
        <row r="109">
          <cell r="C109">
            <v>102935</v>
          </cell>
          <cell r="D109" t="str">
            <v>四川太极青羊区童子街药店</v>
          </cell>
          <cell r="E109" t="str">
            <v>旗舰片区</v>
          </cell>
        </row>
        <row r="110">
          <cell r="C110">
            <v>570</v>
          </cell>
          <cell r="D110" t="str">
            <v>四川太极青羊区大石西路药店</v>
          </cell>
          <cell r="E110" t="str">
            <v>西门二片</v>
          </cell>
        </row>
        <row r="111">
          <cell r="C111">
            <v>351</v>
          </cell>
          <cell r="D111" t="str">
            <v>四川太极都江堰药店</v>
          </cell>
          <cell r="E111" t="str">
            <v>都江堰片</v>
          </cell>
        </row>
        <row r="112">
          <cell r="C112">
            <v>713</v>
          </cell>
          <cell r="D112" t="str">
            <v>四川太极都江堰聚源镇药店</v>
          </cell>
          <cell r="E112" t="str">
            <v>都江堰片</v>
          </cell>
        </row>
        <row r="113">
          <cell r="C113">
            <v>104429</v>
          </cell>
          <cell r="D113" t="str">
            <v>四川太极武侯区大华街药店</v>
          </cell>
          <cell r="E113" t="str">
            <v>西门二片</v>
          </cell>
        </row>
        <row r="114">
          <cell r="C114">
            <v>549</v>
          </cell>
          <cell r="D114" t="str">
            <v>四川太极大邑县晋源镇东壕沟段药店</v>
          </cell>
          <cell r="E114" t="str">
            <v>城郊一片</v>
          </cell>
        </row>
        <row r="115">
          <cell r="C115">
            <v>115971</v>
          </cell>
          <cell r="D115" t="str">
            <v>四川太极高新区天顺路药店</v>
          </cell>
          <cell r="E115" t="str">
            <v>西门一片</v>
          </cell>
        </row>
        <row r="116">
          <cell r="C116">
            <v>732</v>
          </cell>
          <cell r="D116" t="str">
            <v>四川太极邛崃市羊安镇永康大道药店</v>
          </cell>
          <cell r="E116" t="str">
            <v>城郊一片</v>
          </cell>
        </row>
        <row r="117">
          <cell r="C117">
            <v>112888</v>
          </cell>
          <cell r="D117" t="str">
            <v>四川太极武侯区双楠路药店</v>
          </cell>
          <cell r="E117" t="str">
            <v>西门二片</v>
          </cell>
        </row>
        <row r="118">
          <cell r="C118">
            <v>339</v>
          </cell>
          <cell r="D118" t="str">
            <v>四川太极沙河源药店</v>
          </cell>
          <cell r="E118" t="str">
            <v>北门片</v>
          </cell>
        </row>
        <row r="119">
          <cell r="C119">
            <v>119263</v>
          </cell>
          <cell r="D119" t="str">
            <v>四川太极青羊区蜀源路药店</v>
          </cell>
          <cell r="E119" t="str">
            <v>西门二片</v>
          </cell>
        </row>
        <row r="120">
          <cell r="C120">
            <v>706</v>
          </cell>
          <cell r="D120" t="str">
            <v>四川太极都江堰幸福镇翔凤路药店</v>
          </cell>
          <cell r="E120" t="str">
            <v>都江堰片</v>
          </cell>
        </row>
        <row r="121">
          <cell r="C121">
            <v>104838</v>
          </cell>
          <cell r="D121" t="str">
            <v>四川太极崇州市崇阳镇蜀州中路药店</v>
          </cell>
          <cell r="E121" t="str">
            <v>崇州片</v>
          </cell>
        </row>
        <row r="122">
          <cell r="C122">
            <v>573</v>
          </cell>
          <cell r="D122" t="str">
            <v>四川太极双流县西航港街道锦华路一段药店</v>
          </cell>
          <cell r="E122" t="str">
            <v>东南片区</v>
          </cell>
        </row>
        <row r="123">
          <cell r="C123">
            <v>110378</v>
          </cell>
          <cell r="D123" t="str">
            <v>四川太极都江堰市永丰街道宝莲路药店</v>
          </cell>
          <cell r="E123" t="str">
            <v>都江堰片</v>
          </cell>
        </row>
        <row r="124">
          <cell r="C124">
            <v>102567</v>
          </cell>
          <cell r="D124" t="str">
            <v>四川太极新津县五津镇武阳西路药店</v>
          </cell>
          <cell r="E124" t="str">
            <v>新津片</v>
          </cell>
        </row>
        <row r="125">
          <cell r="C125">
            <v>122906</v>
          </cell>
          <cell r="D125" t="str">
            <v>四川太极新都区斑竹园街道医贸大道药店</v>
          </cell>
          <cell r="E125" t="str">
            <v>北门片</v>
          </cell>
        </row>
        <row r="126">
          <cell r="C126">
            <v>106568</v>
          </cell>
          <cell r="D126" t="str">
            <v>四川太极高新区中和公济桥路药店</v>
          </cell>
          <cell r="E126" t="str">
            <v>东南片区</v>
          </cell>
        </row>
        <row r="127">
          <cell r="C127">
            <v>116773</v>
          </cell>
          <cell r="D127" t="str">
            <v>四川太极青羊区经一路药店</v>
          </cell>
          <cell r="E127" t="str">
            <v>西门二片</v>
          </cell>
        </row>
        <row r="128">
          <cell r="C128">
            <v>52</v>
          </cell>
          <cell r="D128" t="str">
            <v>四川太极崇州中心店</v>
          </cell>
          <cell r="E128" t="str">
            <v>崇州片</v>
          </cell>
        </row>
        <row r="129">
          <cell r="C129">
            <v>104533</v>
          </cell>
          <cell r="D129" t="str">
            <v>四川太极大邑县晋原镇潘家街药店</v>
          </cell>
          <cell r="E129" t="str">
            <v>城郊一片</v>
          </cell>
        </row>
        <row r="130">
          <cell r="C130">
            <v>371</v>
          </cell>
          <cell r="D130" t="str">
            <v>四川太极兴义镇万兴路药店</v>
          </cell>
          <cell r="E130" t="str">
            <v>新津片</v>
          </cell>
        </row>
        <row r="131">
          <cell r="C131">
            <v>113298</v>
          </cell>
          <cell r="D131" t="str">
            <v>四川太极武侯区逸都路药店</v>
          </cell>
          <cell r="E131" t="str">
            <v>西门二片</v>
          </cell>
        </row>
        <row r="132">
          <cell r="C132">
            <v>56</v>
          </cell>
          <cell r="D132" t="str">
            <v>四川太极三江店</v>
          </cell>
          <cell r="E132" t="str">
            <v>崇州片</v>
          </cell>
        </row>
        <row r="133">
          <cell r="C133">
            <v>114069</v>
          </cell>
          <cell r="D133" t="str">
            <v>四川太极高新区剑南大道药店</v>
          </cell>
          <cell r="E133" t="str">
            <v>东南片区</v>
          </cell>
        </row>
        <row r="134">
          <cell r="C134">
            <v>118758</v>
          </cell>
          <cell r="D134" t="str">
            <v>四川太极成华区水碾河路药店</v>
          </cell>
          <cell r="E134" t="str">
            <v>城中片</v>
          </cell>
        </row>
        <row r="135">
          <cell r="C135">
            <v>117923</v>
          </cell>
          <cell r="D135" t="str">
            <v>四川太极大邑县观音阁街西段店</v>
          </cell>
          <cell r="E135" t="str">
            <v>城郊一片</v>
          </cell>
        </row>
        <row r="136">
          <cell r="C136">
            <v>117637</v>
          </cell>
          <cell r="D136" t="str">
            <v>四川太极大邑晋原街道金巷西街药店</v>
          </cell>
          <cell r="E136" t="str">
            <v>城郊一片</v>
          </cell>
        </row>
        <row r="137">
          <cell r="C137">
            <v>123007</v>
          </cell>
          <cell r="D137" t="str">
            <v>四川太极大邑县青霞街道元通路南段药店</v>
          </cell>
          <cell r="E137" t="str">
            <v>城郊一片</v>
          </cell>
        </row>
        <row r="138">
          <cell r="C138">
            <v>119262</v>
          </cell>
          <cell r="D138" t="str">
            <v>四川太极成华区驷马桥三路药店</v>
          </cell>
          <cell r="E138" t="str">
            <v>北门片</v>
          </cell>
        </row>
        <row r="139">
          <cell r="C139">
            <v>122686</v>
          </cell>
          <cell r="D139" t="str">
            <v>四川太极大邑县晋原街道蜀望路药店</v>
          </cell>
          <cell r="E139" t="str">
            <v>城郊一片</v>
          </cell>
        </row>
        <row r="140">
          <cell r="C140">
            <v>591</v>
          </cell>
          <cell r="D140" t="str">
            <v>四川太极邛崃市文君街道凤凰大道药店</v>
          </cell>
          <cell r="E140" t="str">
            <v>城郊一片</v>
          </cell>
        </row>
        <row r="141">
          <cell r="C141">
            <v>122176</v>
          </cell>
          <cell r="D141" t="str">
            <v>四川太极崇州市怀远镇文井北路药店</v>
          </cell>
          <cell r="E141" t="str">
            <v>崇州片</v>
          </cell>
        </row>
        <row r="142">
          <cell r="C142">
            <v>122718</v>
          </cell>
          <cell r="D142" t="str">
            <v>四川太极大邑县晋原街道南街药店</v>
          </cell>
          <cell r="E142" t="str">
            <v>城郊一片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O460"/>
  <sheetViews>
    <sheetView workbookViewId="0">
      <pane ySplit="1" topLeftCell="A361" activePane="bottomLeft" state="frozen"/>
      <selection/>
      <selection pane="bottomLeft" activeCell="B362" sqref="B362"/>
    </sheetView>
  </sheetViews>
  <sheetFormatPr defaultColWidth="9" defaultRowHeight="65" customHeight="1"/>
  <cols>
    <col min="1" max="1" width="9.75" style="17" customWidth="1"/>
    <col min="2" max="2" width="20.75" style="17" customWidth="1"/>
    <col min="3" max="3" width="23.4416666666667" style="17" customWidth="1"/>
    <col min="4" max="4" width="30.125" style="17" customWidth="1"/>
    <col min="5" max="8" width="19.5333333333333" style="17" customWidth="1"/>
    <col min="9" max="9" width="19.5333333333333" style="18" customWidth="1"/>
    <col min="10" max="10" width="27.3416666666667" style="17" customWidth="1"/>
    <col min="11" max="11" width="27.3416666666667" style="18" customWidth="1"/>
    <col min="12" max="12" width="19.5333333333333" style="17" customWidth="1"/>
    <col min="13" max="13" width="19.5333333333333" style="19" customWidth="1"/>
    <col min="14" max="18" width="19.5333333333333" style="17" customWidth="1"/>
    <col min="19" max="19" width="46.875" style="17" customWidth="1"/>
    <col min="20" max="20" width="11.7166666666667" style="17" customWidth="1"/>
    <col min="21" max="29" width="9" style="17"/>
    <col min="30" max="30" width="9" style="20"/>
    <col min="31" max="31" width="9" style="17"/>
    <col min="32" max="32" width="9" style="20"/>
    <col min="33" max="33" width="9" style="17"/>
    <col min="34" max="34" width="9" style="21"/>
    <col min="35" max="16384" width="9" style="17"/>
  </cols>
  <sheetData>
    <row r="1" s="17" customFormat="1" customHeight="1" spans="1:41">
      <c r="A1" s="17" t="s">
        <v>0</v>
      </c>
      <c r="B1" s="20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4" t="s">
        <v>8</v>
      </c>
      <c r="J1" s="22" t="s">
        <v>9</v>
      </c>
      <c r="K1" s="24" t="s">
        <v>10</v>
      </c>
      <c r="L1" s="22" t="s">
        <v>11</v>
      </c>
      <c r="M1" s="25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  <c r="S1" s="22" t="s">
        <v>18</v>
      </c>
      <c r="T1" s="22" t="s">
        <v>19</v>
      </c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1"/>
      <c r="AI1" s="20"/>
      <c r="AJ1" s="20"/>
      <c r="AK1" s="20"/>
      <c r="AL1" s="20"/>
      <c r="AM1" s="20"/>
      <c r="AN1" s="20"/>
      <c r="AO1" s="20"/>
    </row>
    <row r="2" s="17" customFormat="1" customHeight="1" spans="1:41">
      <c r="A2" s="20">
        <v>122176</v>
      </c>
      <c r="B2" s="20" t="s">
        <v>20</v>
      </c>
      <c r="C2" s="23" t="s">
        <v>21</v>
      </c>
      <c r="D2" s="23" t="s">
        <v>22</v>
      </c>
      <c r="E2" s="23" t="s">
        <v>23</v>
      </c>
      <c r="F2" s="23" t="s">
        <v>24</v>
      </c>
      <c r="G2" s="23" t="s">
        <v>25</v>
      </c>
      <c r="H2" s="23" t="s">
        <v>26</v>
      </c>
      <c r="I2" s="26" t="s">
        <v>27</v>
      </c>
      <c r="J2" s="23" t="s">
        <v>28</v>
      </c>
      <c r="K2" s="23" t="s">
        <v>29</v>
      </c>
      <c r="L2" s="23" t="s">
        <v>30</v>
      </c>
      <c r="M2" s="25" t="s">
        <v>31</v>
      </c>
      <c r="N2" s="23" t="s">
        <v>32</v>
      </c>
      <c r="O2" s="23" t="s">
        <v>33</v>
      </c>
      <c r="P2" s="23" t="s">
        <v>34</v>
      </c>
      <c r="Q2" s="23" t="s">
        <v>34</v>
      </c>
      <c r="R2" s="23" t="s">
        <v>35</v>
      </c>
      <c r="S2" s="23" t="s">
        <v>36</v>
      </c>
      <c r="T2" s="23" t="s">
        <v>37</v>
      </c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1"/>
      <c r="AI2" s="20"/>
      <c r="AJ2" s="20"/>
      <c r="AK2" s="20"/>
      <c r="AL2" s="20"/>
      <c r="AM2" s="20"/>
      <c r="AN2" s="20"/>
      <c r="AO2" s="20"/>
    </row>
    <row r="3" s="17" customFormat="1" customHeight="1" spans="1:41">
      <c r="A3" s="17">
        <v>754</v>
      </c>
      <c r="B3" s="17" t="s">
        <v>38</v>
      </c>
      <c r="C3" s="23" t="s">
        <v>21</v>
      </c>
      <c r="D3" s="23" t="s">
        <v>22</v>
      </c>
      <c r="E3" s="23" t="s">
        <v>23</v>
      </c>
      <c r="F3" s="23" t="s">
        <v>24</v>
      </c>
      <c r="G3" s="23" t="s">
        <v>39</v>
      </c>
      <c r="H3" s="23" t="s">
        <v>26</v>
      </c>
      <c r="I3" s="26" t="s">
        <v>27</v>
      </c>
      <c r="J3" s="23" t="s">
        <v>40</v>
      </c>
      <c r="K3" s="23" t="s">
        <v>41</v>
      </c>
      <c r="L3" s="23" t="s">
        <v>42</v>
      </c>
      <c r="M3" s="25" t="s">
        <v>31</v>
      </c>
      <c r="N3" s="23" t="s">
        <v>32</v>
      </c>
      <c r="O3" s="23" t="s">
        <v>33</v>
      </c>
      <c r="P3" s="23" t="s">
        <v>34</v>
      </c>
      <c r="Q3" s="23" t="s">
        <v>34</v>
      </c>
      <c r="R3" s="23" t="s">
        <v>35</v>
      </c>
      <c r="S3" s="23" t="s">
        <v>43</v>
      </c>
      <c r="T3" s="23" t="s">
        <v>37</v>
      </c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1"/>
      <c r="AI3" s="20"/>
      <c r="AJ3" s="20"/>
      <c r="AK3" s="20"/>
      <c r="AL3" s="20"/>
      <c r="AM3" s="20"/>
      <c r="AN3" s="20"/>
      <c r="AO3" s="20"/>
    </row>
    <row r="4" s="17" customFormat="1" customHeight="1" spans="1:41">
      <c r="A4" s="20">
        <v>754</v>
      </c>
      <c r="B4" s="20" t="s">
        <v>38</v>
      </c>
      <c r="C4" s="23" t="s">
        <v>21</v>
      </c>
      <c r="D4" s="23" t="s">
        <v>22</v>
      </c>
      <c r="E4" s="23" t="s">
        <v>23</v>
      </c>
      <c r="F4" s="23" t="s">
        <v>24</v>
      </c>
      <c r="G4" s="23" t="s">
        <v>44</v>
      </c>
      <c r="H4" s="23" t="s">
        <v>45</v>
      </c>
      <c r="I4" s="26" t="s">
        <v>46</v>
      </c>
      <c r="J4" s="23" t="s">
        <v>47</v>
      </c>
      <c r="K4" s="23" t="s">
        <v>48</v>
      </c>
      <c r="L4" s="23" t="s">
        <v>42</v>
      </c>
      <c r="M4" s="25" t="s">
        <v>31</v>
      </c>
      <c r="N4" s="23" t="s">
        <v>32</v>
      </c>
      <c r="O4" s="23" t="s">
        <v>33</v>
      </c>
      <c r="P4" s="23" t="s">
        <v>34</v>
      </c>
      <c r="Q4" s="23" t="s">
        <v>34</v>
      </c>
      <c r="R4" s="23" t="s">
        <v>35</v>
      </c>
      <c r="S4" s="23" t="s">
        <v>49</v>
      </c>
      <c r="T4" s="23" t="s">
        <v>37</v>
      </c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1"/>
      <c r="AI4" s="20"/>
      <c r="AJ4" s="20"/>
      <c r="AK4" s="20"/>
      <c r="AL4" s="20"/>
      <c r="AM4" s="20"/>
      <c r="AN4" s="20"/>
      <c r="AO4" s="20"/>
    </row>
    <row r="5" s="17" customFormat="1" hidden="1" customHeight="1" spans="3:20">
      <c r="C5" s="23" t="s">
        <v>50</v>
      </c>
      <c r="D5" s="23" t="s">
        <v>51</v>
      </c>
      <c r="E5" s="23" t="s">
        <v>23</v>
      </c>
      <c r="F5" s="23" t="s">
        <v>24</v>
      </c>
      <c r="G5" s="23" t="s">
        <v>52</v>
      </c>
      <c r="H5" s="23" t="s">
        <v>53</v>
      </c>
      <c r="I5" s="26" t="s">
        <v>54</v>
      </c>
      <c r="J5" s="23" t="s">
        <v>55</v>
      </c>
      <c r="K5" s="23" t="s">
        <v>56</v>
      </c>
      <c r="L5" s="23" t="s">
        <v>57</v>
      </c>
      <c r="M5" s="23" t="s">
        <v>58</v>
      </c>
      <c r="N5" s="23" t="s">
        <v>32</v>
      </c>
      <c r="O5" s="23" t="s">
        <v>59</v>
      </c>
      <c r="P5" s="23" t="s">
        <v>34</v>
      </c>
      <c r="Q5" s="27" t="str">
        <f>HYPERLINK("http://ovopark.oss-cn-hangzhou.aliyuncs.com/62_1656125501906_6254_584880837575857_.jpg","查看图片")</f>
        <v>查看图片</v>
      </c>
      <c r="R5" s="23" t="s">
        <v>60</v>
      </c>
      <c r="S5" s="23" t="s">
        <v>61</v>
      </c>
      <c r="T5" s="23" t="s">
        <v>37</v>
      </c>
    </row>
    <row r="6" s="17" customFormat="1" hidden="1" customHeight="1" spans="3:20">
      <c r="C6" s="23" t="s">
        <v>50</v>
      </c>
      <c r="D6" s="23" t="s">
        <v>62</v>
      </c>
      <c r="E6" s="23" t="s">
        <v>23</v>
      </c>
      <c r="F6" s="23" t="s">
        <v>24</v>
      </c>
      <c r="G6" s="23" t="s">
        <v>52</v>
      </c>
      <c r="H6" s="23" t="s">
        <v>53</v>
      </c>
      <c r="I6" s="26" t="s">
        <v>54</v>
      </c>
      <c r="J6" s="23" t="s">
        <v>63</v>
      </c>
      <c r="K6" s="23" t="s">
        <v>64</v>
      </c>
      <c r="L6" s="23" t="s">
        <v>57</v>
      </c>
      <c r="M6" s="23" t="s">
        <v>58</v>
      </c>
      <c r="N6" s="23" t="s">
        <v>32</v>
      </c>
      <c r="O6" s="23" t="s">
        <v>59</v>
      </c>
      <c r="P6" s="27" t="str">
        <f>HYPERLINK("https://ovopark.oss-cn-hangzhou.aliyuncs.com/2022/06/24/0_62_20220624143718_1926.png?x-oss-process=image/resize,w_700,l_700","查看图片")</f>
        <v>查看图片</v>
      </c>
      <c r="Q6" s="27" t="str">
        <f>HYPERLINK("http://ovopark.oss-cn-hangzhou.aliyuncs.com/62_1656125545983_6254_584924920637308_.jpg","查看图片")</f>
        <v>查看图片</v>
      </c>
      <c r="R6" s="23" t="s">
        <v>60</v>
      </c>
      <c r="S6" s="23" t="s">
        <v>65</v>
      </c>
      <c r="T6" s="23" t="s">
        <v>37</v>
      </c>
    </row>
    <row r="7" s="17" customFormat="1" hidden="1" customHeight="1" spans="3:20">
      <c r="C7" s="23" t="s">
        <v>50</v>
      </c>
      <c r="D7" s="23" t="s">
        <v>66</v>
      </c>
      <c r="E7" s="23" t="s">
        <v>23</v>
      </c>
      <c r="F7" s="23" t="s">
        <v>24</v>
      </c>
      <c r="G7" s="23" t="s">
        <v>52</v>
      </c>
      <c r="H7" s="23" t="s">
        <v>53</v>
      </c>
      <c r="I7" s="26" t="s">
        <v>54</v>
      </c>
      <c r="J7" s="23" t="s">
        <v>67</v>
      </c>
      <c r="K7" s="23" t="s">
        <v>68</v>
      </c>
      <c r="L7" s="23" t="s">
        <v>57</v>
      </c>
      <c r="M7" s="23" t="s">
        <v>58</v>
      </c>
      <c r="N7" s="23" t="s">
        <v>32</v>
      </c>
      <c r="O7" s="23" t="s">
        <v>59</v>
      </c>
      <c r="P7" s="27" t="str">
        <f>HYPERLINK("https://ovopark.oss-cn-hangzhou.aliyuncs.com/2022/06/24/0_62_20220624144210_1034.png?x-oss-process=image/resize,w_700,l_700","查看图片")</f>
        <v>查看图片</v>
      </c>
      <c r="Q7" s="27" t="str">
        <f>HYPERLINK("https://ovopark.oss-cn-hangzhou.aliyuncs.com/2022/06/25/0_62_20220625171214_9130.jpeg","查看图片")</f>
        <v>查看图片</v>
      </c>
      <c r="R7" s="23" t="s">
        <v>60</v>
      </c>
      <c r="S7" s="23" t="s">
        <v>69</v>
      </c>
      <c r="T7" s="23" t="s">
        <v>37</v>
      </c>
    </row>
    <row r="8" s="17" customFormat="1" hidden="1" customHeight="1" spans="3:20">
      <c r="C8" s="23" t="s">
        <v>70</v>
      </c>
      <c r="D8" s="23" t="s">
        <v>71</v>
      </c>
      <c r="E8" s="23" t="s">
        <v>23</v>
      </c>
      <c r="F8" s="23" t="s">
        <v>24</v>
      </c>
      <c r="G8" s="23" t="s">
        <v>52</v>
      </c>
      <c r="H8" s="23" t="s">
        <v>53</v>
      </c>
      <c r="I8" s="26" t="s">
        <v>54</v>
      </c>
      <c r="J8" s="23" t="s">
        <v>72</v>
      </c>
      <c r="K8" s="23" t="s">
        <v>73</v>
      </c>
      <c r="L8" s="23" t="s">
        <v>57</v>
      </c>
      <c r="M8" s="23" t="s">
        <v>58</v>
      </c>
      <c r="N8" s="23" t="s">
        <v>32</v>
      </c>
      <c r="O8" s="23" t="s">
        <v>59</v>
      </c>
      <c r="P8" s="27" t="str">
        <f>HYPERLINK("https://ovopark.oss-cn-hangzhou.aliyuncs.com/2022/06/24/0_62_20220624145841_6555.png?x-oss-process=image/resize,w_700,l_700","查看图片")</f>
        <v>查看图片</v>
      </c>
      <c r="Q8" s="27" t="str">
        <f>HYPERLINK("http://ovopark.oss-cn-hangzhou.aliyuncs.com/62_1656126908589_6254_585618490115848_.jpg","查看图片")</f>
        <v>查看图片</v>
      </c>
      <c r="R8" s="23" t="s">
        <v>60</v>
      </c>
      <c r="S8" s="23" t="s">
        <v>74</v>
      </c>
      <c r="T8" s="23" t="s">
        <v>37</v>
      </c>
    </row>
    <row r="9" s="17" customFormat="1" hidden="1" customHeight="1" spans="3:20">
      <c r="C9" s="23" t="s">
        <v>70</v>
      </c>
      <c r="D9" s="23" t="s">
        <v>75</v>
      </c>
      <c r="E9" s="23" t="s">
        <v>23</v>
      </c>
      <c r="F9" s="23" t="s">
        <v>24</v>
      </c>
      <c r="G9" s="23" t="s">
        <v>52</v>
      </c>
      <c r="H9" s="23" t="s">
        <v>53</v>
      </c>
      <c r="I9" s="26" t="s">
        <v>54</v>
      </c>
      <c r="J9" s="23" t="s">
        <v>76</v>
      </c>
      <c r="K9" s="23" t="s">
        <v>77</v>
      </c>
      <c r="L9" s="23" t="s">
        <v>57</v>
      </c>
      <c r="M9" s="23" t="s">
        <v>58</v>
      </c>
      <c r="N9" s="23" t="s">
        <v>32</v>
      </c>
      <c r="O9" s="23" t="s">
        <v>59</v>
      </c>
      <c r="P9" s="23" t="s">
        <v>34</v>
      </c>
      <c r="Q9" s="23" t="s">
        <v>34</v>
      </c>
      <c r="R9" s="23" t="s">
        <v>60</v>
      </c>
      <c r="S9" s="23" t="s">
        <v>78</v>
      </c>
      <c r="T9" s="23" t="s">
        <v>37</v>
      </c>
    </row>
    <row r="10" s="17" customFormat="1" hidden="1" customHeight="1" spans="3:20">
      <c r="C10" s="23" t="s">
        <v>70</v>
      </c>
      <c r="D10" s="23" t="s">
        <v>79</v>
      </c>
      <c r="E10" s="23" t="s">
        <v>23</v>
      </c>
      <c r="F10" s="23" t="s">
        <v>24</v>
      </c>
      <c r="G10" s="23" t="s">
        <v>52</v>
      </c>
      <c r="H10" s="23" t="s">
        <v>53</v>
      </c>
      <c r="I10" s="26" t="s">
        <v>54</v>
      </c>
      <c r="J10" s="23" t="s">
        <v>80</v>
      </c>
      <c r="K10" s="23" t="s">
        <v>81</v>
      </c>
      <c r="L10" s="23" t="s">
        <v>57</v>
      </c>
      <c r="M10" s="23" t="s">
        <v>58</v>
      </c>
      <c r="N10" s="23" t="s">
        <v>32</v>
      </c>
      <c r="O10" s="23" t="s">
        <v>59</v>
      </c>
      <c r="P10" s="27" t="str">
        <f>HYPERLINK("https://ovopark.oss-cn-hangzhou.aliyuncs.com/2022/06/24/0_62_20220624150029_7211.png?x-oss-process=image/resize,w_700,l_700","查看图片")</f>
        <v>查看图片</v>
      </c>
      <c r="Q10" s="27" t="str">
        <f>HYPERLINK("http://ovopark.oss-cn-hangzhou.aliyuncs.com/62_1656127029719_6254_585739614778330_.jpg","查看图片")</f>
        <v>查看图片</v>
      </c>
      <c r="R10" s="23" t="s">
        <v>60</v>
      </c>
      <c r="S10" s="23" t="s">
        <v>82</v>
      </c>
      <c r="T10" s="23" t="s">
        <v>37</v>
      </c>
    </row>
    <row r="11" s="17" customFormat="1" hidden="1" customHeight="1" spans="3:20">
      <c r="C11" s="23" t="s">
        <v>83</v>
      </c>
      <c r="D11" s="23" t="s">
        <v>84</v>
      </c>
      <c r="E11" s="23" t="s">
        <v>23</v>
      </c>
      <c r="F11" s="23" t="s">
        <v>24</v>
      </c>
      <c r="G11" s="23" t="s">
        <v>52</v>
      </c>
      <c r="H11" s="23" t="s">
        <v>53</v>
      </c>
      <c r="I11" s="26" t="s">
        <v>54</v>
      </c>
      <c r="J11" s="23" t="s">
        <v>85</v>
      </c>
      <c r="K11" s="23" t="s">
        <v>86</v>
      </c>
      <c r="L11" s="23" t="s">
        <v>57</v>
      </c>
      <c r="M11" s="23" t="s">
        <v>58</v>
      </c>
      <c r="N11" s="23" t="s">
        <v>32</v>
      </c>
      <c r="O11" s="23" t="s">
        <v>59</v>
      </c>
      <c r="P11" s="27" t="str">
        <f>HYPERLINK("https://ovopark.oss-cn-hangzhou.aliyuncs.com/2022/06/24/0_62_20220624145318_8269.png?x-oss-process=image/resize,w_700,l_700","查看图片")</f>
        <v>查看图片</v>
      </c>
      <c r="Q11" s="27" t="str">
        <f>HYPERLINK("http://ovopark.oss-cn-hangzhou.aliyuncs.com/62_1656134415597_6254_590877613482234_.jpg","查看图片")</f>
        <v>查看图片</v>
      </c>
      <c r="R11" s="23" t="s">
        <v>60</v>
      </c>
      <c r="S11" s="23" t="s">
        <v>87</v>
      </c>
      <c r="T11" s="23" t="s">
        <v>37</v>
      </c>
    </row>
    <row r="12" s="17" customFormat="1" hidden="1" customHeight="1" spans="3:20">
      <c r="C12" s="23" t="s">
        <v>83</v>
      </c>
      <c r="D12" s="23" t="s">
        <v>88</v>
      </c>
      <c r="E12" s="23" t="s">
        <v>23</v>
      </c>
      <c r="F12" s="23" t="s">
        <v>24</v>
      </c>
      <c r="G12" s="23" t="s">
        <v>52</v>
      </c>
      <c r="H12" s="23" t="s">
        <v>53</v>
      </c>
      <c r="I12" s="26" t="s">
        <v>54</v>
      </c>
      <c r="J12" s="23" t="s">
        <v>89</v>
      </c>
      <c r="K12" s="23" t="s">
        <v>90</v>
      </c>
      <c r="L12" s="23" t="s">
        <v>57</v>
      </c>
      <c r="M12" s="23" t="s">
        <v>58</v>
      </c>
      <c r="N12" s="23" t="s">
        <v>32</v>
      </c>
      <c r="O12" s="23" t="s">
        <v>59</v>
      </c>
      <c r="P12" s="23" t="s">
        <v>34</v>
      </c>
      <c r="Q12" s="27" t="str">
        <f>HYPERLINK("https://ovopark.oss-cn-hangzhou.aliyuncs.com/2022/06/25/0_62_20220625171123_4373.jpeg","查看图片")</f>
        <v>查看图片</v>
      </c>
      <c r="R12" s="23" t="s">
        <v>60</v>
      </c>
      <c r="S12" s="23" t="s">
        <v>91</v>
      </c>
      <c r="T12" s="23" t="s">
        <v>37</v>
      </c>
    </row>
    <row r="13" s="17" customFormat="1" hidden="1" customHeight="1" spans="3:20">
      <c r="C13" s="23" t="s">
        <v>92</v>
      </c>
      <c r="D13" s="23" t="s">
        <v>93</v>
      </c>
      <c r="E13" s="23" t="s">
        <v>23</v>
      </c>
      <c r="F13" s="23" t="s">
        <v>24</v>
      </c>
      <c r="G13" s="23" t="s">
        <v>52</v>
      </c>
      <c r="H13" s="23" t="s">
        <v>53</v>
      </c>
      <c r="I13" s="26" t="s">
        <v>54</v>
      </c>
      <c r="J13" s="23" t="s">
        <v>94</v>
      </c>
      <c r="K13" s="23" t="s">
        <v>95</v>
      </c>
      <c r="L13" s="23" t="s">
        <v>57</v>
      </c>
      <c r="M13" s="23" t="s">
        <v>58</v>
      </c>
      <c r="N13" s="23" t="s">
        <v>32</v>
      </c>
      <c r="O13" s="23" t="s">
        <v>59</v>
      </c>
      <c r="P13" s="27" t="str">
        <f>HYPERLINK("https://ovopark.oss-cn-hangzhou.aliyuncs.com/2022/06/24/0_62_20220624153702_4062.png?x-oss-process=image/resize,w_700,l_700","查看图片")</f>
        <v>查看图片</v>
      </c>
      <c r="Q13" s="27" t="str">
        <f>HYPERLINK("http://ovopark.oss-cn-hangzhou.aliyuncs.com/62_1656134637569_6254_591060745253039_.jpg","查看图片")</f>
        <v>查看图片</v>
      </c>
      <c r="R13" s="23" t="s">
        <v>60</v>
      </c>
      <c r="S13" s="23" t="s">
        <v>96</v>
      </c>
      <c r="T13" s="23" t="s">
        <v>37</v>
      </c>
    </row>
    <row r="14" s="17" customFormat="1" hidden="1" customHeight="1" spans="3:20">
      <c r="C14" s="23" t="s">
        <v>97</v>
      </c>
      <c r="D14" s="23" t="s">
        <v>98</v>
      </c>
      <c r="E14" s="23" t="s">
        <v>23</v>
      </c>
      <c r="F14" s="23" t="s">
        <v>24</v>
      </c>
      <c r="G14" s="23" t="s">
        <v>52</v>
      </c>
      <c r="H14" s="23" t="s">
        <v>53</v>
      </c>
      <c r="I14" s="26" t="s">
        <v>54</v>
      </c>
      <c r="J14" s="23" t="s">
        <v>99</v>
      </c>
      <c r="K14" s="23" t="s">
        <v>100</v>
      </c>
      <c r="L14" s="23" t="s">
        <v>57</v>
      </c>
      <c r="M14" s="23" t="s">
        <v>58</v>
      </c>
      <c r="N14" s="23" t="s">
        <v>32</v>
      </c>
      <c r="O14" s="23" t="s">
        <v>59</v>
      </c>
      <c r="P14" s="27" t="str">
        <f>HYPERLINK("https://ovopark.oss-cn-hangzhou.aliyuncs.com/2022/06/24/0_62_20220624151054_3857.png?x-oss-process=image/resize,w_700,l_700","查看图片")</f>
        <v>查看图片</v>
      </c>
      <c r="Q14" s="27" t="str">
        <f>HYPERLINK("http://ovopark.oss-cn-hangzhou.aliyuncs.com/62_1656134705282_6254_591128469991570_.jpg","查看图片")</f>
        <v>查看图片</v>
      </c>
      <c r="R14" s="23" t="s">
        <v>60</v>
      </c>
      <c r="S14" s="23" t="s">
        <v>101</v>
      </c>
      <c r="T14" s="23" t="s">
        <v>37</v>
      </c>
    </row>
    <row r="15" s="17" customFormat="1" hidden="1" customHeight="1" spans="3:20">
      <c r="C15" s="23" t="s">
        <v>102</v>
      </c>
      <c r="D15" s="23" t="s">
        <v>103</v>
      </c>
      <c r="E15" s="23" t="s">
        <v>23</v>
      </c>
      <c r="F15" s="23" t="s">
        <v>24</v>
      </c>
      <c r="G15" s="23" t="s">
        <v>52</v>
      </c>
      <c r="H15" s="23" t="s">
        <v>53</v>
      </c>
      <c r="I15" s="26" t="s">
        <v>54</v>
      </c>
      <c r="J15" s="23" t="s">
        <v>104</v>
      </c>
      <c r="K15" s="23" t="s">
        <v>105</v>
      </c>
      <c r="L15" s="23" t="s">
        <v>57</v>
      </c>
      <c r="M15" s="23" t="s">
        <v>58</v>
      </c>
      <c r="N15" s="23" t="s">
        <v>32</v>
      </c>
      <c r="O15" s="23" t="s">
        <v>59</v>
      </c>
      <c r="P15" s="27" t="str">
        <f>HYPERLINK("https://ovopark.oss-cn-hangzhou.aliyuncs.com/2022/06/24/0_62_20220624151434_6624.png?x-oss-process=image/resize,w_700,l_700","查看图片")</f>
        <v>查看图片</v>
      </c>
      <c r="Q15" s="27" t="str">
        <f>HYPERLINK("http://ovopark.oss-cn-hangzhou.aliyuncs.com/62_1656134876074_6254_591292245654566_.jpg","查看图片")</f>
        <v>查看图片</v>
      </c>
      <c r="R15" s="23" t="s">
        <v>60</v>
      </c>
      <c r="S15" s="23" t="s">
        <v>106</v>
      </c>
      <c r="T15" s="23" t="s">
        <v>37</v>
      </c>
    </row>
    <row r="16" s="17" customFormat="1" hidden="1" customHeight="1" spans="3:20">
      <c r="C16" s="23" t="s">
        <v>107</v>
      </c>
      <c r="D16" s="23" t="s">
        <v>108</v>
      </c>
      <c r="E16" s="23" t="s">
        <v>23</v>
      </c>
      <c r="F16" s="23" t="s">
        <v>24</v>
      </c>
      <c r="G16" s="23" t="s">
        <v>52</v>
      </c>
      <c r="H16" s="23" t="s">
        <v>53</v>
      </c>
      <c r="I16" s="26" t="s">
        <v>54</v>
      </c>
      <c r="J16" s="23" t="s">
        <v>109</v>
      </c>
      <c r="K16" s="23" t="s">
        <v>110</v>
      </c>
      <c r="L16" s="23" t="s">
        <v>57</v>
      </c>
      <c r="M16" s="23" t="s">
        <v>58</v>
      </c>
      <c r="N16" s="23" t="s">
        <v>32</v>
      </c>
      <c r="O16" s="23" t="s">
        <v>59</v>
      </c>
      <c r="P16" s="27" t="str">
        <f>HYPERLINK("https://ovopark.oss-cn-hangzhou.aliyuncs.com/2022/06/24/0_62_20220624151502_2661.png?x-oss-process=image/resize,w_700,l_700","查看图片")</f>
        <v>查看图片</v>
      </c>
      <c r="Q16" s="27" t="str">
        <f>HYPERLINK("http://ovopark.oss-cn-hangzhou.aliyuncs.com/62_1656135165197_6254_591581384545668_.jpg","查看图片")</f>
        <v>查看图片</v>
      </c>
      <c r="R16" s="23" t="s">
        <v>60</v>
      </c>
      <c r="S16" s="23" t="s">
        <v>111</v>
      </c>
      <c r="T16" s="23" t="s">
        <v>37</v>
      </c>
    </row>
    <row r="17" s="17" customFormat="1" hidden="1" customHeight="1" spans="3:20">
      <c r="C17" s="23" t="s">
        <v>107</v>
      </c>
      <c r="D17" s="23" t="s">
        <v>112</v>
      </c>
      <c r="E17" s="23" t="s">
        <v>23</v>
      </c>
      <c r="F17" s="23" t="s">
        <v>24</v>
      </c>
      <c r="G17" s="23" t="s">
        <v>52</v>
      </c>
      <c r="H17" s="23" t="s">
        <v>53</v>
      </c>
      <c r="I17" s="26" t="s">
        <v>54</v>
      </c>
      <c r="J17" s="23" t="s">
        <v>113</v>
      </c>
      <c r="K17" s="23" t="s">
        <v>114</v>
      </c>
      <c r="L17" s="23" t="s">
        <v>57</v>
      </c>
      <c r="M17" s="23" t="s">
        <v>58</v>
      </c>
      <c r="N17" s="23" t="s">
        <v>32</v>
      </c>
      <c r="O17" s="23" t="s">
        <v>59</v>
      </c>
      <c r="P17" s="27" t="str">
        <f>HYPERLINK("https://ovopark.oss-cn-hangzhou.aliyuncs.com/2022/06/24/0_62_20220624152234_4569.png?x-oss-process=image/resize,w_700,l_700","查看图片")</f>
        <v>查看图片</v>
      </c>
      <c r="Q17" s="27" t="str">
        <f>HYPERLINK("http://ovopark.oss-cn-hangzhou.aliyuncs.com/62_1656135053087_6254_591469258238393_.jpg","查看图片")</f>
        <v>查看图片</v>
      </c>
      <c r="R17" s="23" t="s">
        <v>60</v>
      </c>
      <c r="S17" s="23" t="s">
        <v>115</v>
      </c>
      <c r="T17" s="23" t="s">
        <v>37</v>
      </c>
    </row>
    <row r="18" s="17" customFormat="1" hidden="1" customHeight="1" spans="3:20">
      <c r="C18" s="23" t="s">
        <v>116</v>
      </c>
      <c r="D18" s="23" t="s">
        <v>117</v>
      </c>
      <c r="E18" s="23" t="s">
        <v>23</v>
      </c>
      <c r="F18" s="23" t="s">
        <v>24</v>
      </c>
      <c r="G18" s="23" t="s">
        <v>52</v>
      </c>
      <c r="H18" s="23" t="s">
        <v>53</v>
      </c>
      <c r="I18" s="26" t="s">
        <v>54</v>
      </c>
      <c r="J18" s="23" t="s">
        <v>118</v>
      </c>
      <c r="K18" s="23" t="s">
        <v>119</v>
      </c>
      <c r="L18" s="23" t="s">
        <v>57</v>
      </c>
      <c r="M18" s="23" t="s">
        <v>58</v>
      </c>
      <c r="N18" s="23" t="s">
        <v>32</v>
      </c>
      <c r="O18" s="23" t="s">
        <v>59</v>
      </c>
      <c r="P18" s="23" t="s">
        <v>34</v>
      </c>
      <c r="Q18" s="27" t="str">
        <f>HYPERLINK("https://ovopark.oss-cn-hangzhou.aliyuncs.com/2022/06/25/0_62_20220625171403_4027.jpeg","查看图片")</f>
        <v>查看图片</v>
      </c>
      <c r="R18" s="23" t="s">
        <v>60</v>
      </c>
      <c r="S18" s="23" t="s">
        <v>120</v>
      </c>
      <c r="T18" s="23" t="s">
        <v>37</v>
      </c>
    </row>
    <row r="19" s="17" customFormat="1" customHeight="1" spans="1:41">
      <c r="A19" s="20">
        <v>52</v>
      </c>
      <c r="B19" s="20" t="s">
        <v>121</v>
      </c>
      <c r="C19" s="23" t="s">
        <v>21</v>
      </c>
      <c r="D19" s="23" t="s">
        <v>22</v>
      </c>
      <c r="E19" s="23" t="s">
        <v>23</v>
      </c>
      <c r="F19" s="23" t="s">
        <v>24</v>
      </c>
      <c r="G19" s="23" t="s">
        <v>122</v>
      </c>
      <c r="H19" s="23" t="s">
        <v>26</v>
      </c>
      <c r="I19" s="26" t="s">
        <v>27</v>
      </c>
      <c r="J19" s="23" t="s">
        <v>123</v>
      </c>
      <c r="K19" s="23" t="s">
        <v>124</v>
      </c>
      <c r="L19" s="23" t="s">
        <v>125</v>
      </c>
      <c r="M19" s="25" t="s">
        <v>31</v>
      </c>
      <c r="N19" s="23" t="s">
        <v>32</v>
      </c>
      <c r="O19" s="23" t="s">
        <v>33</v>
      </c>
      <c r="P19" s="23" t="s">
        <v>34</v>
      </c>
      <c r="Q19" s="27" t="str">
        <f>HYPERLINK("https://ovopark.oss-cn-hangzhou.aliyuncs.com/2022/07/08/0_62_20220708124612_3168.jpeg","查看图片")</f>
        <v>查看图片</v>
      </c>
      <c r="R19" s="23" t="s">
        <v>35</v>
      </c>
      <c r="S19" s="23" t="s">
        <v>126</v>
      </c>
      <c r="T19" s="23" t="s">
        <v>37</v>
      </c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1"/>
      <c r="AI19" s="20"/>
      <c r="AJ19" s="20"/>
      <c r="AK19" s="20"/>
      <c r="AL19" s="20"/>
      <c r="AM19" s="20"/>
      <c r="AN19" s="20"/>
      <c r="AO19" s="20"/>
    </row>
    <row r="20" s="17" customFormat="1" customHeight="1" spans="1:41">
      <c r="A20" s="20">
        <v>571</v>
      </c>
      <c r="B20" s="20" t="s">
        <v>127</v>
      </c>
      <c r="C20" s="23" t="s">
        <v>128</v>
      </c>
      <c r="D20" s="23" t="s">
        <v>128</v>
      </c>
      <c r="E20" s="23" t="s">
        <v>23</v>
      </c>
      <c r="F20" s="23" t="s">
        <v>24</v>
      </c>
      <c r="G20" s="23" t="s">
        <v>129</v>
      </c>
      <c r="H20" s="23" t="s">
        <v>130</v>
      </c>
      <c r="I20" s="26" t="s">
        <v>131</v>
      </c>
      <c r="J20" s="23" t="s">
        <v>132</v>
      </c>
      <c r="K20" s="23" t="s">
        <v>133</v>
      </c>
      <c r="L20" s="23" t="s">
        <v>134</v>
      </c>
      <c r="M20" s="25" t="s">
        <v>31</v>
      </c>
      <c r="N20" s="23" t="s">
        <v>32</v>
      </c>
      <c r="O20" s="23" t="s">
        <v>134</v>
      </c>
      <c r="P20" s="27" t="str">
        <f>HYPERLINK("http://ovopark.oss-cn-hangzhou.aliyuncs.com/62_1656148549736_2101_487874059928032_.jpg?x-oss-process=image/resize,w_700,l_700","查看图片")</f>
        <v>查看图片</v>
      </c>
      <c r="Q20" s="27" t="str">
        <f>HYPERLINK("http://ovopark.oss-cn-hangzhou.aliyuncs.com/62_1656484745206_2101_1017031208577619_.jpg","查看图片")</f>
        <v>查看图片</v>
      </c>
      <c r="R20" s="23" t="s">
        <v>135</v>
      </c>
      <c r="S20" s="23" t="s">
        <v>136</v>
      </c>
      <c r="T20" s="23" t="s">
        <v>37</v>
      </c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1"/>
      <c r="AI20" s="20"/>
      <c r="AJ20" s="20"/>
      <c r="AK20" s="20"/>
      <c r="AL20" s="20"/>
      <c r="AM20" s="20"/>
      <c r="AN20" s="20"/>
      <c r="AO20" s="20"/>
    </row>
    <row r="21" s="17" customFormat="1" customHeight="1" spans="1:41">
      <c r="A21" s="20">
        <v>710</v>
      </c>
      <c r="B21" s="20" t="s">
        <v>137</v>
      </c>
      <c r="C21" s="23" t="s">
        <v>138</v>
      </c>
      <c r="D21" s="23" t="s">
        <v>139</v>
      </c>
      <c r="E21" s="23" t="s">
        <v>23</v>
      </c>
      <c r="F21" s="23" t="s">
        <v>24</v>
      </c>
      <c r="G21" s="23" t="s">
        <v>140</v>
      </c>
      <c r="H21" s="23" t="s">
        <v>27</v>
      </c>
      <c r="I21" s="26" t="s">
        <v>141</v>
      </c>
      <c r="J21" s="23" t="s">
        <v>142</v>
      </c>
      <c r="K21" s="23" t="s">
        <v>143</v>
      </c>
      <c r="L21" s="23" t="s">
        <v>144</v>
      </c>
      <c r="M21" s="25" t="s">
        <v>31</v>
      </c>
      <c r="N21" s="23" t="s">
        <v>32</v>
      </c>
      <c r="O21" s="23" t="s">
        <v>145</v>
      </c>
      <c r="P21" s="23" t="s">
        <v>34</v>
      </c>
      <c r="Q21" s="23" t="s">
        <v>34</v>
      </c>
      <c r="R21" s="23" t="s">
        <v>35</v>
      </c>
      <c r="S21" s="23" t="s">
        <v>146</v>
      </c>
      <c r="T21" s="23" t="s">
        <v>37</v>
      </c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1"/>
      <c r="AI21" s="20"/>
      <c r="AJ21" s="20"/>
      <c r="AK21" s="20"/>
      <c r="AL21" s="20"/>
      <c r="AM21" s="20"/>
      <c r="AN21" s="20"/>
      <c r="AO21" s="20"/>
    </row>
    <row r="22" s="17" customFormat="1" customHeight="1" spans="1:41">
      <c r="A22" s="20">
        <v>710</v>
      </c>
      <c r="B22" s="20" t="s">
        <v>137</v>
      </c>
      <c r="C22" s="23" t="s">
        <v>138</v>
      </c>
      <c r="D22" s="23" t="s">
        <v>147</v>
      </c>
      <c r="E22" s="23" t="s">
        <v>23</v>
      </c>
      <c r="F22" s="23" t="s">
        <v>24</v>
      </c>
      <c r="G22" s="23" t="s">
        <v>148</v>
      </c>
      <c r="H22" s="23" t="s">
        <v>27</v>
      </c>
      <c r="I22" s="26" t="s">
        <v>141</v>
      </c>
      <c r="J22" s="23" t="s">
        <v>149</v>
      </c>
      <c r="K22" s="23" t="s">
        <v>150</v>
      </c>
      <c r="L22" s="23" t="s">
        <v>144</v>
      </c>
      <c r="M22" s="25" t="s">
        <v>31</v>
      </c>
      <c r="N22" s="23" t="s">
        <v>32</v>
      </c>
      <c r="O22" s="23" t="s">
        <v>145</v>
      </c>
      <c r="P22" s="23" t="s">
        <v>34</v>
      </c>
      <c r="Q22" s="23" t="s">
        <v>34</v>
      </c>
      <c r="R22" s="23" t="s">
        <v>35</v>
      </c>
      <c r="S22" s="23" t="s">
        <v>151</v>
      </c>
      <c r="T22" s="23" t="s">
        <v>37</v>
      </c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1"/>
      <c r="AI22" s="20"/>
      <c r="AJ22" s="20"/>
      <c r="AK22" s="20"/>
      <c r="AL22" s="20"/>
      <c r="AM22" s="20"/>
      <c r="AN22" s="20"/>
      <c r="AO22" s="20"/>
    </row>
    <row r="23" s="17" customFormat="1" customHeight="1" spans="1:41">
      <c r="A23" s="20">
        <v>710</v>
      </c>
      <c r="B23" s="20" t="s">
        <v>137</v>
      </c>
      <c r="C23" s="23" t="s">
        <v>138</v>
      </c>
      <c r="D23" s="23" t="s">
        <v>152</v>
      </c>
      <c r="E23" s="23" t="s">
        <v>23</v>
      </c>
      <c r="F23" s="23" t="s">
        <v>24</v>
      </c>
      <c r="G23" s="23" t="s">
        <v>148</v>
      </c>
      <c r="H23" s="23" t="s">
        <v>27</v>
      </c>
      <c r="I23" s="26" t="s">
        <v>141</v>
      </c>
      <c r="J23" s="23" t="s">
        <v>153</v>
      </c>
      <c r="K23" s="23" t="s">
        <v>154</v>
      </c>
      <c r="L23" s="23" t="s">
        <v>144</v>
      </c>
      <c r="M23" s="25" t="s">
        <v>31</v>
      </c>
      <c r="N23" s="23" t="s">
        <v>32</v>
      </c>
      <c r="O23" s="23" t="s">
        <v>145</v>
      </c>
      <c r="P23" s="23" t="s">
        <v>34</v>
      </c>
      <c r="Q23" s="23" t="s">
        <v>34</v>
      </c>
      <c r="R23" s="23" t="s">
        <v>35</v>
      </c>
      <c r="S23" s="23" t="s">
        <v>155</v>
      </c>
      <c r="T23" s="23" t="s">
        <v>37</v>
      </c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1"/>
      <c r="AI23" s="20"/>
      <c r="AJ23" s="20"/>
      <c r="AK23" s="20"/>
      <c r="AL23" s="20"/>
      <c r="AM23" s="20"/>
      <c r="AN23" s="20"/>
      <c r="AO23" s="20"/>
    </row>
    <row r="24" s="17" customFormat="1" customHeight="1" spans="1:41">
      <c r="A24" s="20">
        <v>710</v>
      </c>
      <c r="B24" s="20" t="s">
        <v>137</v>
      </c>
      <c r="C24" s="23" t="s">
        <v>138</v>
      </c>
      <c r="D24" s="23" t="s">
        <v>156</v>
      </c>
      <c r="E24" s="23" t="s">
        <v>23</v>
      </c>
      <c r="F24" s="23" t="s">
        <v>24</v>
      </c>
      <c r="G24" s="23" t="s">
        <v>157</v>
      </c>
      <c r="H24" s="23" t="s">
        <v>27</v>
      </c>
      <c r="I24" s="26" t="s">
        <v>141</v>
      </c>
      <c r="J24" s="23" t="s">
        <v>158</v>
      </c>
      <c r="K24" s="23" t="s">
        <v>159</v>
      </c>
      <c r="L24" s="23" t="s">
        <v>144</v>
      </c>
      <c r="M24" s="25" t="s">
        <v>31</v>
      </c>
      <c r="N24" s="23" t="s">
        <v>32</v>
      </c>
      <c r="O24" s="23" t="s">
        <v>145</v>
      </c>
      <c r="P24" s="23" t="s">
        <v>34</v>
      </c>
      <c r="Q24" s="23" t="s">
        <v>34</v>
      </c>
      <c r="R24" s="23" t="s">
        <v>35</v>
      </c>
      <c r="S24" s="23" t="s">
        <v>160</v>
      </c>
      <c r="T24" s="23" t="s">
        <v>37</v>
      </c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1"/>
      <c r="AI24" s="20"/>
      <c r="AJ24" s="20"/>
      <c r="AK24" s="20"/>
      <c r="AL24" s="20"/>
      <c r="AM24" s="20"/>
      <c r="AN24" s="20"/>
      <c r="AO24" s="20"/>
    </row>
    <row r="25" s="17" customFormat="1" customHeight="1" spans="1:41">
      <c r="A25" s="20">
        <v>710</v>
      </c>
      <c r="B25" s="20" t="s">
        <v>137</v>
      </c>
      <c r="C25" s="23" t="s">
        <v>138</v>
      </c>
      <c r="D25" s="23" t="s">
        <v>161</v>
      </c>
      <c r="E25" s="23" t="s">
        <v>23</v>
      </c>
      <c r="F25" s="23" t="s">
        <v>24</v>
      </c>
      <c r="G25" s="23" t="s">
        <v>157</v>
      </c>
      <c r="H25" s="23" t="s">
        <v>27</v>
      </c>
      <c r="I25" s="26" t="s">
        <v>141</v>
      </c>
      <c r="J25" s="23" t="s">
        <v>162</v>
      </c>
      <c r="K25" s="23" t="s">
        <v>163</v>
      </c>
      <c r="L25" s="23" t="s">
        <v>144</v>
      </c>
      <c r="M25" s="25" t="s">
        <v>31</v>
      </c>
      <c r="N25" s="23" t="s">
        <v>32</v>
      </c>
      <c r="O25" s="23" t="s">
        <v>145</v>
      </c>
      <c r="P25" s="23" t="s">
        <v>34</v>
      </c>
      <c r="Q25" s="23" t="s">
        <v>34</v>
      </c>
      <c r="R25" s="23" t="s">
        <v>35</v>
      </c>
      <c r="S25" s="23" t="s">
        <v>164</v>
      </c>
      <c r="T25" s="23" t="s">
        <v>37</v>
      </c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1"/>
      <c r="AI25" s="20"/>
      <c r="AJ25" s="20"/>
      <c r="AK25" s="20"/>
      <c r="AL25" s="20"/>
      <c r="AM25" s="20"/>
      <c r="AN25" s="20"/>
      <c r="AO25" s="20"/>
    </row>
    <row r="26" s="17" customFormat="1" customHeight="1" spans="1:41">
      <c r="A26" s="20">
        <v>710</v>
      </c>
      <c r="B26" s="20" t="s">
        <v>137</v>
      </c>
      <c r="C26" s="23" t="s">
        <v>138</v>
      </c>
      <c r="D26" s="23" t="s">
        <v>139</v>
      </c>
      <c r="E26" s="23" t="s">
        <v>23</v>
      </c>
      <c r="F26" s="23" t="s">
        <v>24</v>
      </c>
      <c r="G26" s="23" t="s">
        <v>157</v>
      </c>
      <c r="H26" s="23" t="s">
        <v>27</v>
      </c>
      <c r="I26" s="26" t="s">
        <v>141</v>
      </c>
      <c r="J26" s="23" t="s">
        <v>165</v>
      </c>
      <c r="K26" s="23" t="s">
        <v>166</v>
      </c>
      <c r="L26" s="23" t="s">
        <v>144</v>
      </c>
      <c r="M26" s="25" t="s">
        <v>31</v>
      </c>
      <c r="N26" s="23" t="s">
        <v>32</v>
      </c>
      <c r="O26" s="23" t="s">
        <v>145</v>
      </c>
      <c r="P26" s="23" t="s">
        <v>34</v>
      </c>
      <c r="Q26" s="23" t="s">
        <v>34</v>
      </c>
      <c r="R26" s="23" t="s">
        <v>35</v>
      </c>
      <c r="S26" s="23" t="s">
        <v>167</v>
      </c>
      <c r="T26" s="23" t="s">
        <v>37</v>
      </c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1"/>
      <c r="AI26" s="20"/>
      <c r="AJ26" s="20"/>
      <c r="AK26" s="20"/>
      <c r="AL26" s="20"/>
      <c r="AM26" s="20"/>
      <c r="AN26" s="20"/>
      <c r="AO26" s="20"/>
    </row>
    <row r="27" s="17" customFormat="1" customHeight="1" spans="1:41">
      <c r="A27" s="20">
        <v>710</v>
      </c>
      <c r="B27" s="20" t="s">
        <v>137</v>
      </c>
      <c r="C27" s="23" t="s">
        <v>138</v>
      </c>
      <c r="D27" s="23" t="s">
        <v>168</v>
      </c>
      <c r="E27" s="23" t="s">
        <v>23</v>
      </c>
      <c r="F27" s="23" t="s">
        <v>24</v>
      </c>
      <c r="G27" s="23" t="s">
        <v>169</v>
      </c>
      <c r="H27" s="23" t="s">
        <v>54</v>
      </c>
      <c r="I27" s="26" t="s">
        <v>170</v>
      </c>
      <c r="J27" s="23" t="s">
        <v>171</v>
      </c>
      <c r="K27" s="23" t="s">
        <v>172</v>
      </c>
      <c r="L27" s="23" t="s">
        <v>144</v>
      </c>
      <c r="M27" s="25" t="s">
        <v>31</v>
      </c>
      <c r="N27" s="23" t="s">
        <v>32</v>
      </c>
      <c r="O27" s="23" t="s">
        <v>145</v>
      </c>
      <c r="P27" s="23" t="s">
        <v>34</v>
      </c>
      <c r="Q27" s="23" t="s">
        <v>34</v>
      </c>
      <c r="R27" s="23" t="s">
        <v>35</v>
      </c>
      <c r="S27" s="23" t="s">
        <v>173</v>
      </c>
      <c r="T27" s="23" t="s">
        <v>37</v>
      </c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1"/>
      <c r="AI27" s="20"/>
      <c r="AJ27" s="20"/>
      <c r="AK27" s="20"/>
      <c r="AL27" s="20"/>
      <c r="AM27" s="20"/>
      <c r="AN27" s="20"/>
      <c r="AO27" s="20"/>
    </row>
    <row r="28" s="17" customFormat="1" customHeight="1" spans="1:41">
      <c r="A28" s="20">
        <v>710</v>
      </c>
      <c r="B28" s="20" t="s">
        <v>137</v>
      </c>
      <c r="C28" s="23" t="s">
        <v>138</v>
      </c>
      <c r="D28" s="23" t="s">
        <v>174</v>
      </c>
      <c r="E28" s="23" t="s">
        <v>23</v>
      </c>
      <c r="F28" s="23" t="s">
        <v>24</v>
      </c>
      <c r="G28" s="23" t="s">
        <v>175</v>
      </c>
      <c r="H28" s="23" t="s">
        <v>130</v>
      </c>
      <c r="I28" s="26" t="s">
        <v>131</v>
      </c>
      <c r="J28" s="23" t="s">
        <v>176</v>
      </c>
      <c r="K28" s="23" t="s">
        <v>177</v>
      </c>
      <c r="L28" s="23" t="s">
        <v>144</v>
      </c>
      <c r="M28" s="25" t="s">
        <v>31</v>
      </c>
      <c r="N28" s="23" t="s">
        <v>32</v>
      </c>
      <c r="O28" s="23" t="s">
        <v>145</v>
      </c>
      <c r="P28" s="23" t="s">
        <v>34</v>
      </c>
      <c r="Q28" s="23" t="s">
        <v>34</v>
      </c>
      <c r="R28" s="23" t="s">
        <v>35</v>
      </c>
      <c r="S28" s="23" t="s">
        <v>178</v>
      </c>
      <c r="T28" s="23" t="s">
        <v>37</v>
      </c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1"/>
      <c r="AI28" s="20"/>
      <c r="AJ28" s="20"/>
      <c r="AK28" s="20"/>
      <c r="AL28" s="20"/>
      <c r="AM28" s="20"/>
      <c r="AN28" s="20"/>
      <c r="AO28" s="20"/>
    </row>
    <row r="29" s="17" customFormat="1" customHeight="1" spans="1:41">
      <c r="A29" s="20">
        <v>710</v>
      </c>
      <c r="B29" s="20" t="s">
        <v>137</v>
      </c>
      <c r="C29" s="23" t="s">
        <v>138</v>
      </c>
      <c r="D29" s="23" t="s">
        <v>179</v>
      </c>
      <c r="E29" s="23" t="s">
        <v>23</v>
      </c>
      <c r="F29" s="23" t="s">
        <v>24</v>
      </c>
      <c r="G29" s="23" t="s">
        <v>175</v>
      </c>
      <c r="H29" s="23" t="s">
        <v>130</v>
      </c>
      <c r="I29" s="26" t="s">
        <v>131</v>
      </c>
      <c r="J29" s="23" t="s">
        <v>180</v>
      </c>
      <c r="K29" s="23" t="s">
        <v>181</v>
      </c>
      <c r="L29" s="23" t="s">
        <v>144</v>
      </c>
      <c r="M29" s="25" t="s">
        <v>31</v>
      </c>
      <c r="N29" s="23" t="s">
        <v>32</v>
      </c>
      <c r="O29" s="23" t="s">
        <v>145</v>
      </c>
      <c r="P29" s="23" t="s">
        <v>34</v>
      </c>
      <c r="Q29" s="23" t="s">
        <v>34</v>
      </c>
      <c r="R29" s="23" t="s">
        <v>35</v>
      </c>
      <c r="S29" s="23" t="s">
        <v>182</v>
      </c>
      <c r="T29" s="23" t="s">
        <v>37</v>
      </c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1"/>
      <c r="AI29" s="20"/>
      <c r="AJ29" s="20"/>
      <c r="AK29" s="20"/>
      <c r="AL29" s="20"/>
      <c r="AM29" s="20"/>
      <c r="AN29" s="20"/>
      <c r="AO29" s="20"/>
    </row>
    <row r="30" s="17" customFormat="1" customHeight="1" spans="1:41">
      <c r="A30" s="20">
        <v>710</v>
      </c>
      <c r="B30" s="20" t="s">
        <v>137</v>
      </c>
      <c r="C30" s="23" t="s">
        <v>138</v>
      </c>
      <c r="D30" s="23" t="s">
        <v>183</v>
      </c>
      <c r="E30" s="23" t="s">
        <v>23</v>
      </c>
      <c r="F30" s="23" t="s">
        <v>24</v>
      </c>
      <c r="G30" s="23" t="s">
        <v>175</v>
      </c>
      <c r="H30" s="23" t="s">
        <v>130</v>
      </c>
      <c r="I30" s="26" t="s">
        <v>131</v>
      </c>
      <c r="J30" s="23" t="s">
        <v>184</v>
      </c>
      <c r="K30" s="23" t="s">
        <v>185</v>
      </c>
      <c r="L30" s="23" t="s">
        <v>144</v>
      </c>
      <c r="M30" s="25" t="s">
        <v>31</v>
      </c>
      <c r="N30" s="23" t="s">
        <v>32</v>
      </c>
      <c r="O30" s="23" t="s">
        <v>145</v>
      </c>
      <c r="P30" s="23" t="s">
        <v>34</v>
      </c>
      <c r="Q30" s="23" t="s">
        <v>34</v>
      </c>
      <c r="R30" s="23" t="s">
        <v>35</v>
      </c>
      <c r="S30" s="23" t="s">
        <v>186</v>
      </c>
      <c r="T30" s="23" t="s">
        <v>37</v>
      </c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1"/>
      <c r="AI30" s="20"/>
      <c r="AJ30" s="20"/>
      <c r="AK30" s="20"/>
      <c r="AL30" s="20"/>
      <c r="AM30" s="20"/>
      <c r="AN30" s="20"/>
      <c r="AO30" s="20"/>
    </row>
    <row r="31" s="17" customFormat="1" customHeight="1" spans="1:41">
      <c r="A31" s="20">
        <v>710</v>
      </c>
      <c r="B31" s="20" t="s">
        <v>137</v>
      </c>
      <c r="C31" s="23" t="s">
        <v>21</v>
      </c>
      <c r="D31" s="23" t="s">
        <v>22</v>
      </c>
      <c r="E31" s="23" t="s">
        <v>23</v>
      </c>
      <c r="F31" s="23" t="s">
        <v>24</v>
      </c>
      <c r="G31" s="23" t="s">
        <v>187</v>
      </c>
      <c r="H31" s="23" t="s">
        <v>130</v>
      </c>
      <c r="I31" s="26" t="s">
        <v>131</v>
      </c>
      <c r="J31" s="23" t="s">
        <v>188</v>
      </c>
      <c r="K31" s="23" t="s">
        <v>189</v>
      </c>
      <c r="L31" s="23" t="s">
        <v>144</v>
      </c>
      <c r="M31" s="25" t="s">
        <v>31</v>
      </c>
      <c r="N31" s="23" t="s">
        <v>32</v>
      </c>
      <c r="O31" s="23" t="s">
        <v>145</v>
      </c>
      <c r="P31" s="23" t="s">
        <v>34</v>
      </c>
      <c r="Q31" s="23" t="s">
        <v>34</v>
      </c>
      <c r="R31" s="23" t="s">
        <v>35</v>
      </c>
      <c r="S31" s="23" t="s">
        <v>190</v>
      </c>
      <c r="T31" s="23" t="s">
        <v>37</v>
      </c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1"/>
      <c r="AI31" s="20"/>
      <c r="AJ31" s="20"/>
      <c r="AK31" s="20"/>
      <c r="AL31" s="20"/>
      <c r="AM31" s="20"/>
      <c r="AN31" s="20"/>
      <c r="AO31" s="20"/>
    </row>
    <row r="32" s="17" customFormat="1" customHeight="1" spans="1:41">
      <c r="A32" s="20">
        <v>111219</v>
      </c>
      <c r="B32" s="20" t="s">
        <v>191</v>
      </c>
      <c r="C32" s="23" t="s">
        <v>138</v>
      </c>
      <c r="D32" s="23" t="s">
        <v>156</v>
      </c>
      <c r="E32" s="23" t="s">
        <v>23</v>
      </c>
      <c r="F32" s="23" t="s">
        <v>24</v>
      </c>
      <c r="G32" s="23" t="s">
        <v>192</v>
      </c>
      <c r="H32" s="23" t="s">
        <v>170</v>
      </c>
      <c r="I32" s="26" t="s">
        <v>193</v>
      </c>
      <c r="J32" s="23" t="s">
        <v>194</v>
      </c>
      <c r="K32" s="23" t="s">
        <v>195</v>
      </c>
      <c r="L32" s="23" t="s">
        <v>196</v>
      </c>
      <c r="M32" s="25" t="s">
        <v>31</v>
      </c>
      <c r="N32" s="23" t="s">
        <v>32</v>
      </c>
      <c r="O32" s="23" t="s">
        <v>197</v>
      </c>
      <c r="P32" s="23" t="s">
        <v>34</v>
      </c>
      <c r="Q32" s="23" t="s">
        <v>34</v>
      </c>
      <c r="R32" s="23" t="s">
        <v>35</v>
      </c>
      <c r="S32" s="23" t="s">
        <v>198</v>
      </c>
      <c r="T32" s="23" t="s">
        <v>37</v>
      </c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1"/>
      <c r="AI32" s="20"/>
      <c r="AJ32" s="20"/>
      <c r="AK32" s="20"/>
      <c r="AL32" s="20"/>
      <c r="AM32" s="20"/>
      <c r="AN32" s="20"/>
      <c r="AO32" s="20"/>
    </row>
    <row r="33" s="17" customFormat="1" customHeight="1" spans="1:41">
      <c r="A33" s="20">
        <v>111219</v>
      </c>
      <c r="B33" s="20" t="s">
        <v>191</v>
      </c>
      <c r="C33" s="23" t="s">
        <v>138</v>
      </c>
      <c r="D33" s="23" t="s">
        <v>161</v>
      </c>
      <c r="E33" s="23" t="s">
        <v>23</v>
      </c>
      <c r="F33" s="23" t="s">
        <v>24</v>
      </c>
      <c r="G33" s="23" t="s">
        <v>192</v>
      </c>
      <c r="H33" s="23" t="s">
        <v>170</v>
      </c>
      <c r="I33" s="26" t="s">
        <v>193</v>
      </c>
      <c r="J33" s="23" t="s">
        <v>199</v>
      </c>
      <c r="K33" s="23" t="s">
        <v>200</v>
      </c>
      <c r="L33" s="23" t="s">
        <v>196</v>
      </c>
      <c r="M33" s="25" t="s">
        <v>31</v>
      </c>
      <c r="N33" s="23" t="s">
        <v>32</v>
      </c>
      <c r="O33" s="23" t="s">
        <v>197</v>
      </c>
      <c r="P33" s="23" t="s">
        <v>34</v>
      </c>
      <c r="Q33" s="23" t="s">
        <v>34</v>
      </c>
      <c r="R33" s="23" t="s">
        <v>35</v>
      </c>
      <c r="S33" s="23" t="s">
        <v>201</v>
      </c>
      <c r="T33" s="23" t="s">
        <v>37</v>
      </c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1"/>
      <c r="AI33" s="20"/>
      <c r="AJ33" s="20"/>
      <c r="AK33" s="20"/>
      <c r="AL33" s="20"/>
      <c r="AM33" s="20"/>
      <c r="AN33" s="20"/>
      <c r="AO33" s="20"/>
    </row>
    <row r="34" s="17" customFormat="1" customHeight="1" spans="1:41">
      <c r="A34" s="20">
        <v>111219</v>
      </c>
      <c r="B34" s="20" t="s">
        <v>191</v>
      </c>
      <c r="C34" s="23" t="s">
        <v>138</v>
      </c>
      <c r="D34" s="23" t="s">
        <v>139</v>
      </c>
      <c r="E34" s="23" t="s">
        <v>23</v>
      </c>
      <c r="F34" s="23" t="s">
        <v>24</v>
      </c>
      <c r="G34" s="23" t="s">
        <v>192</v>
      </c>
      <c r="H34" s="23" t="s">
        <v>170</v>
      </c>
      <c r="I34" s="26" t="s">
        <v>193</v>
      </c>
      <c r="J34" s="23" t="s">
        <v>202</v>
      </c>
      <c r="K34" s="23" t="s">
        <v>203</v>
      </c>
      <c r="L34" s="23" t="s">
        <v>196</v>
      </c>
      <c r="M34" s="25" t="s">
        <v>31</v>
      </c>
      <c r="N34" s="23" t="s">
        <v>32</v>
      </c>
      <c r="O34" s="23" t="s">
        <v>197</v>
      </c>
      <c r="P34" s="23" t="s">
        <v>34</v>
      </c>
      <c r="Q34" s="23" t="s">
        <v>34</v>
      </c>
      <c r="R34" s="23" t="s">
        <v>35</v>
      </c>
      <c r="S34" s="23" t="s">
        <v>204</v>
      </c>
      <c r="T34" s="23" t="s">
        <v>37</v>
      </c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1"/>
      <c r="AI34" s="20"/>
      <c r="AJ34" s="20"/>
      <c r="AK34" s="20"/>
      <c r="AL34" s="20"/>
      <c r="AM34" s="20"/>
      <c r="AN34" s="20"/>
      <c r="AO34" s="20"/>
    </row>
    <row r="35" s="17" customFormat="1" customHeight="1" spans="1:41">
      <c r="A35" s="20">
        <v>111219</v>
      </c>
      <c r="B35" s="20" t="s">
        <v>191</v>
      </c>
      <c r="C35" s="23" t="s">
        <v>138</v>
      </c>
      <c r="D35" s="23" t="s">
        <v>168</v>
      </c>
      <c r="E35" s="23" t="s">
        <v>23</v>
      </c>
      <c r="F35" s="23" t="s">
        <v>24</v>
      </c>
      <c r="G35" s="23" t="s">
        <v>205</v>
      </c>
      <c r="H35" s="23" t="s">
        <v>131</v>
      </c>
      <c r="I35" s="26" t="s">
        <v>206</v>
      </c>
      <c r="J35" s="23" t="s">
        <v>207</v>
      </c>
      <c r="K35" s="23" t="s">
        <v>208</v>
      </c>
      <c r="L35" s="23" t="s">
        <v>196</v>
      </c>
      <c r="M35" s="25" t="s">
        <v>31</v>
      </c>
      <c r="N35" s="23" t="s">
        <v>32</v>
      </c>
      <c r="O35" s="23" t="s">
        <v>197</v>
      </c>
      <c r="P35" s="23" t="s">
        <v>34</v>
      </c>
      <c r="Q35" s="23" t="s">
        <v>34</v>
      </c>
      <c r="R35" s="23" t="s">
        <v>35</v>
      </c>
      <c r="S35" s="23" t="s">
        <v>209</v>
      </c>
      <c r="T35" s="23" t="s">
        <v>37</v>
      </c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1"/>
      <c r="AI35" s="20"/>
      <c r="AJ35" s="20"/>
      <c r="AK35" s="20"/>
      <c r="AL35" s="20"/>
      <c r="AM35" s="20"/>
      <c r="AN35" s="20"/>
      <c r="AO35" s="20"/>
    </row>
    <row r="36" s="17" customFormat="1" customHeight="1" spans="1:41">
      <c r="A36" s="20">
        <v>111219</v>
      </c>
      <c r="B36" s="20" t="s">
        <v>191</v>
      </c>
      <c r="C36" s="23" t="s">
        <v>138</v>
      </c>
      <c r="D36" s="23" t="s">
        <v>147</v>
      </c>
      <c r="E36" s="23" t="s">
        <v>23</v>
      </c>
      <c r="F36" s="23" t="s">
        <v>24</v>
      </c>
      <c r="G36" s="23" t="s">
        <v>210</v>
      </c>
      <c r="H36" s="23" t="s">
        <v>131</v>
      </c>
      <c r="I36" s="26" t="s">
        <v>206</v>
      </c>
      <c r="J36" s="23" t="s">
        <v>211</v>
      </c>
      <c r="K36" s="23" t="s">
        <v>212</v>
      </c>
      <c r="L36" s="23" t="s">
        <v>196</v>
      </c>
      <c r="M36" s="25" t="s">
        <v>31</v>
      </c>
      <c r="N36" s="23" t="s">
        <v>32</v>
      </c>
      <c r="O36" s="23" t="s">
        <v>197</v>
      </c>
      <c r="P36" s="23" t="s">
        <v>34</v>
      </c>
      <c r="Q36" s="23" t="s">
        <v>34</v>
      </c>
      <c r="R36" s="23" t="s">
        <v>35</v>
      </c>
      <c r="S36" s="23" t="s">
        <v>213</v>
      </c>
      <c r="T36" s="23" t="s">
        <v>37</v>
      </c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1"/>
      <c r="AI36" s="20"/>
      <c r="AJ36" s="20"/>
      <c r="AK36" s="20"/>
      <c r="AL36" s="20"/>
      <c r="AM36" s="20"/>
      <c r="AN36" s="20"/>
      <c r="AO36" s="20"/>
    </row>
    <row r="37" s="17" customFormat="1" customHeight="1" spans="1:41">
      <c r="A37" s="20">
        <v>111219</v>
      </c>
      <c r="B37" s="20" t="s">
        <v>191</v>
      </c>
      <c r="C37" s="23" t="s">
        <v>138</v>
      </c>
      <c r="D37" s="23" t="s">
        <v>152</v>
      </c>
      <c r="E37" s="23" t="s">
        <v>23</v>
      </c>
      <c r="F37" s="23" t="s">
        <v>24</v>
      </c>
      <c r="G37" s="23" t="s">
        <v>210</v>
      </c>
      <c r="H37" s="23" t="s">
        <v>131</v>
      </c>
      <c r="I37" s="26" t="s">
        <v>206</v>
      </c>
      <c r="J37" s="23" t="s">
        <v>214</v>
      </c>
      <c r="K37" s="23" t="s">
        <v>215</v>
      </c>
      <c r="L37" s="23" t="s">
        <v>196</v>
      </c>
      <c r="M37" s="25" t="s">
        <v>31</v>
      </c>
      <c r="N37" s="23" t="s">
        <v>32</v>
      </c>
      <c r="O37" s="23" t="s">
        <v>197</v>
      </c>
      <c r="P37" s="23" t="s">
        <v>34</v>
      </c>
      <c r="Q37" s="23" t="s">
        <v>34</v>
      </c>
      <c r="R37" s="23" t="s">
        <v>35</v>
      </c>
      <c r="S37" s="23" t="s">
        <v>216</v>
      </c>
      <c r="T37" s="23" t="s">
        <v>37</v>
      </c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1"/>
      <c r="AI37" s="20"/>
      <c r="AJ37" s="20"/>
      <c r="AK37" s="20"/>
      <c r="AL37" s="20"/>
      <c r="AM37" s="20"/>
      <c r="AN37" s="20"/>
      <c r="AO37" s="20"/>
    </row>
    <row r="38" s="17" customFormat="1" customHeight="1" spans="1:41">
      <c r="A38" s="20">
        <v>365</v>
      </c>
      <c r="B38" s="20" t="s">
        <v>217</v>
      </c>
      <c r="C38" s="23" t="s">
        <v>138</v>
      </c>
      <c r="D38" s="23" t="s">
        <v>152</v>
      </c>
      <c r="E38" s="23" t="s">
        <v>23</v>
      </c>
      <c r="F38" s="23" t="s">
        <v>24</v>
      </c>
      <c r="G38" s="23" t="s">
        <v>218</v>
      </c>
      <c r="H38" s="23" t="s">
        <v>131</v>
      </c>
      <c r="I38" s="26" t="s">
        <v>206</v>
      </c>
      <c r="J38" s="23" t="s">
        <v>219</v>
      </c>
      <c r="K38" s="23" t="s">
        <v>220</v>
      </c>
      <c r="L38" s="23" t="s">
        <v>221</v>
      </c>
      <c r="M38" s="25" t="s">
        <v>31</v>
      </c>
      <c r="N38" s="23" t="s">
        <v>32</v>
      </c>
      <c r="O38" s="23" t="s">
        <v>197</v>
      </c>
      <c r="P38" s="23" t="s">
        <v>34</v>
      </c>
      <c r="Q38" s="27" t="str">
        <f>HYPERLINK("https://ovopark.oss-cn-hangzhou.aliyuncs.com/2022/07/06/0_62_20220706140413_7670.jpeg","查看图片")</f>
        <v>查看图片</v>
      </c>
      <c r="R38" s="23" t="s">
        <v>35</v>
      </c>
      <c r="S38" s="23" t="s">
        <v>222</v>
      </c>
      <c r="T38" s="23" t="s">
        <v>37</v>
      </c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1"/>
      <c r="AI38" s="20"/>
      <c r="AJ38" s="20"/>
      <c r="AK38" s="20"/>
      <c r="AL38" s="20"/>
      <c r="AM38" s="20"/>
      <c r="AN38" s="20"/>
      <c r="AO38" s="20"/>
    </row>
    <row r="39" s="17" customFormat="1" customHeight="1" spans="1:41">
      <c r="A39" s="20">
        <v>365</v>
      </c>
      <c r="B39" s="20" t="s">
        <v>217</v>
      </c>
      <c r="C39" s="23" t="s">
        <v>138</v>
      </c>
      <c r="D39" s="23" t="s">
        <v>147</v>
      </c>
      <c r="E39" s="23" t="s">
        <v>23</v>
      </c>
      <c r="F39" s="23" t="s">
        <v>24</v>
      </c>
      <c r="G39" s="23" t="s">
        <v>218</v>
      </c>
      <c r="H39" s="23" t="s">
        <v>131</v>
      </c>
      <c r="I39" s="26" t="s">
        <v>206</v>
      </c>
      <c r="J39" s="23" t="s">
        <v>223</v>
      </c>
      <c r="K39" s="23" t="s">
        <v>224</v>
      </c>
      <c r="L39" s="23" t="s">
        <v>221</v>
      </c>
      <c r="M39" s="25" t="s">
        <v>31</v>
      </c>
      <c r="N39" s="23" t="s">
        <v>32</v>
      </c>
      <c r="O39" s="23" t="s">
        <v>197</v>
      </c>
      <c r="P39" s="23" t="s">
        <v>34</v>
      </c>
      <c r="Q39" s="27" t="str">
        <f>HYPERLINK("https://ovopark.oss-cn-hangzhou.aliyuncs.com/2022/07/06/0_62_20220706140432_4189.jpeg","查看图片")</f>
        <v>查看图片</v>
      </c>
      <c r="R39" s="23" t="s">
        <v>35</v>
      </c>
      <c r="S39" s="23" t="s">
        <v>225</v>
      </c>
      <c r="T39" s="23" t="s">
        <v>37</v>
      </c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1"/>
      <c r="AI39" s="20"/>
      <c r="AJ39" s="20"/>
      <c r="AK39" s="20"/>
      <c r="AL39" s="20"/>
      <c r="AM39" s="20"/>
      <c r="AN39" s="20"/>
      <c r="AO39" s="20"/>
    </row>
    <row r="40" s="17" customFormat="1" customHeight="1" spans="1:41">
      <c r="A40" s="20">
        <v>365</v>
      </c>
      <c r="B40" s="20" t="s">
        <v>217</v>
      </c>
      <c r="C40" s="23" t="s">
        <v>138</v>
      </c>
      <c r="D40" s="23" t="s">
        <v>168</v>
      </c>
      <c r="E40" s="23" t="s">
        <v>23</v>
      </c>
      <c r="F40" s="23" t="s">
        <v>24</v>
      </c>
      <c r="G40" s="23" t="s">
        <v>226</v>
      </c>
      <c r="H40" s="23" t="s">
        <v>131</v>
      </c>
      <c r="I40" s="26" t="s">
        <v>206</v>
      </c>
      <c r="J40" s="23" t="s">
        <v>227</v>
      </c>
      <c r="K40" s="23" t="s">
        <v>228</v>
      </c>
      <c r="L40" s="23" t="s">
        <v>221</v>
      </c>
      <c r="M40" s="25" t="s">
        <v>31</v>
      </c>
      <c r="N40" s="23" t="s">
        <v>32</v>
      </c>
      <c r="O40" s="23" t="s">
        <v>197</v>
      </c>
      <c r="P40" s="23" t="s">
        <v>34</v>
      </c>
      <c r="Q40" s="27" t="str">
        <f>HYPERLINK("https://ovopark.oss-cn-hangzhou.aliyuncs.com/2022/07/06/0_62_20220706140447_9634.jpeg","查看图片")</f>
        <v>查看图片</v>
      </c>
      <c r="R40" s="23" t="s">
        <v>35</v>
      </c>
      <c r="S40" s="23" t="s">
        <v>229</v>
      </c>
      <c r="T40" s="23" t="s">
        <v>37</v>
      </c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1"/>
      <c r="AI40" s="20"/>
      <c r="AJ40" s="20"/>
      <c r="AK40" s="20"/>
      <c r="AL40" s="20"/>
      <c r="AM40" s="20"/>
      <c r="AN40" s="20"/>
      <c r="AO40" s="20"/>
    </row>
    <row r="41" s="17" customFormat="1" customHeight="1" spans="1:41">
      <c r="A41" s="20">
        <v>365</v>
      </c>
      <c r="B41" s="20" t="s">
        <v>217</v>
      </c>
      <c r="C41" s="23" t="s">
        <v>138</v>
      </c>
      <c r="D41" s="23" t="s">
        <v>139</v>
      </c>
      <c r="E41" s="23" t="s">
        <v>23</v>
      </c>
      <c r="F41" s="23" t="s">
        <v>24</v>
      </c>
      <c r="G41" s="23" t="s">
        <v>230</v>
      </c>
      <c r="H41" s="23" t="s">
        <v>170</v>
      </c>
      <c r="I41" s="26" t="s">
        <v>193</v>
      </c>
      <c r="J41" s="23" t="s">
        <v>231</v>
      </c>
      <c r="K41" s="23" t="s">
        <v>232</v>
      </c>
      <c r="L41" s="23" t="s">
        <v>221</v>
      </c>
      <c r="M41" s="25" t="s">
        <v>31</v>
      </c>
      <c r="N41" s="23" t="s">
        <v>32</v>
      </c>
      <c r="O41" s="23" t="s">
        <v>197</v>
      </c>
      <c r="P41" s="23" t="s">
        <v>34</v>
      </c>
      <c r="Q41" s="27" t="str">
        <f>HYPERLINK("https://ovopark.oss-cn-hangzhou.aliyuncs.com/2022/07/06/0_62_20220706140502_2158.jpeg","查看图片")</f>
        <v>查看图片</v>
      </c>
      <c r="R41" s="23" t="s">
        <v>35</v>
      </c>
      <c r="S41" s="23" t="s">
        <v>233</v>
      </c>
      <c r="T41" s="23" t="s">
        <v>37</v>
      </c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1"/>
      <c r="AI41" s="20"/>
      <c r="AJ41" s="20"/>
      <c r="AK41" s="20"/>
      <c r="AL41" s="20"/>
      <c r="AM41" s="20"/>
      <c r="AN41" s="20"/>
      <c r="AO41" s="20"/>
    </row>
    <row r="42" s="17" customFormat="1" customHeight="1" spans="1:41">
      <c r="A42" s="20">
        <v>365</v>
      </c>
      <c r="B42" s="20" t="s">
        <v>217</v>
      </c>
      <c r="C42" s="23" t="s">
        <v>138</v>
      </c>
      <c r="D42" s="23" t="s">
        <v>161</v>
      </c>
      <c r="E42" s="23" t="s">
        <v>23</v>
      </c>
      <c r="F42" s="23" t="s">
        <v>24</v>
      </c>
      <c r="G42" s="23" t="s">
        <v>230</v>
      </c>
      <c r="H42" s="23" t="s">
        <v>170</v>
      </c>
      <c r="I42" s="26" t="s">
        <v>193</v>
      </c>
      <c r="J42" s="23" t="s">
        <v>234</v>
      </c>
      <c r="K42" s="23" t="s">
        <v>235</v>
      </c>
      <c r="L42" s="23" t="s">
        <v>221</v>
      </c>
      <c r="M42" s="25" t="s">
        <v>31</v>
      </c>
      <c r="N42" s="23" t="s">
        <v>32</v>
      </c>
      <c r="O42" s="23" t="s">
        <v>197</v>
      </c>
      <c r="P42" s="23" t="s">
        <v>34</v>
      </c>
      <c r="Q42" s="27" t="str">
        <f>HYPERLINK("https://ovopark.oss-cn-hangzhou.aliyuncs.com/2022/07/06/0_62_20220706140538_9471.jpeg","查看图片")</f>
        <v>查看图片</v>
      </c>
      <c r="R42" s="23" t="s">
        <v>35</v>
      </c>
      <c r="S42" s="23" t="s">
        <v>236</v>
      </c>
      <c r="T42" s="23" t="s">
        <v>37</v>
      </c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1"/>
      <c r="AI42" s="20"/>
      <c r="AJ42" s="20"/>
      <c r="AK42" s="20"/>
      <c r="AL42" s="20"/>
      <c r="AM42" s="20"/>
      <c r="AN42" s="20"/>
      <c r="AO42" s="20"/>
    </row>
    <row r="43" s="17" customFormat="1" customHeight="1" spans="1:41">
      <c r="A43" s="20">
        <v>365</v>
      </c>
      <c r="B43" s="20" t="s">
        <v>217</v>
      </c>
      <c r="C43" s="23" t="s">
        <v>138</v>
      </c>
      <c r="D43" s="23" t="s">
        <v>156</v>
      </c>
      <c r="E43" s="23" t="s">
        <v>23</v>
      </c>
      <c r="F43" s="23" t="s">
        <v>24</v>
      </c>
      <c r="G43" s="23" t="s">
        <v>230</v>
      </c>
      <c r="H43" s="23" t="s">
        <v>170</v>
      </c>
      <c r="I43" s="26" t="s">
        <v>193</v>
      </c>
      <c r="J43" s="23" t="s">
        <v>237</v>
      </c>
      <c r="K43" s="23" t="s">
        <v>238</v>
      </c>
      <c r="L43" s="23" t="s">
        <v>221</v>
      </c>
      <c r="M43" s="25" t="s">
        <v>31</v>
      </c>
      <c r="N43" s="23" t="s">
        <v>32</v>
      </c>
      <c r="O43" s="23" t="s">
        <v>197</v>
      </c>
      <c r="P43" s="23" t="s">
        <v>34</v>
      </c>
      <c r="Q43" s="27" t="str">
        <f>HYPERLINK("https://ovopark.oss-cn-hangzhou.aliyuncs.com/2022/07/06/0_62_20220706140553_5799.jpeg","查看图片")</f>
        <v>查看图片</v>
      </c>
      <c r="R43" s="23" t="s">
        <v>35</v>
      </c>
      <c r="S43" s="23" t="s">
        <v>239</v>
      </c>
      <c r="T43" s="23" t="s">
        <v>37</v>
      </c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1"/>
      <c r="AI43" s="20"/>
      <c r="AJ43" s="20"/>
      <c r="AK43" s="20"/>
      <c r="AL43" s="20"/>
      <c r="AM43" s="20"/>
      <c r="AN43" s="20"/>
      <c r="AO43" s="20"/>
    </row>
    <row r="44" s="17" customFormat="1" hidden="1" customHeight="1" spans="3:20">
      <c r="C44" s="23" t="s">
        <v>138</v>
      </c>
      <c r="D44" s="23" t="s">
        <v>161</v>
      </c>
      <c r="E44" s="23" t="s">
        <v>23</v>
      </c>
      <c r="F44" s="23" t="s">
        <v>24</v>
      </c>
      <c r="G44" s="23" t="s">
        <v>240</v>
      </c>
      <c r="H44" s="23" t="s">
        <v>241</v>
      </c>
      <c r="I44" s="26" t="s">
        <v>130</v>
      </c>
      <c r="J44" s="23" t="s">
        <v>242</v>
      </c>
      <c r="K44" s="23" t="s">
        <v>243</v>
      </c>
      <c r="L44" s="23" t="s">
        <v>244</v>
      </c>
      <c r="M44" s="23" t="s">
        <v>58</v>
      </c>
      <c r="N44" s="23" t="s">
        <v>32</v>
      </c>
      <c r="O44" s="23" t="s">
        <v>197</v>
      </c>
      <c r="P44" s="23" t="s">
        <v>34</v>
      </c>
      <c r="Q44" s="27" t="str">
        <f>HYPERLINK("https://ovopark.oss-cn-hangzhou.aliyuncs.com/2022/06/24/image_1656063070214.jpg","查看图片")</f>
        <v>查看图片</v>
      </c>
      <c r="R44" s="23" t="s">
        <v>35</v>
      </c>
      <c r="S44" s="23" t="s">
        <v>245</v>
      </c>
      <c r="T44" s="23" t="s">
        <v>37</v>
      </c>
    </row>
    <row r="45" s="17" customFormat="1" hidden="1" customHeight="1" spans="3:20">
      <c r="C45" s="23" t="s">
        <v>138</v>
      </c>
      <c r="D45" s="23" t="s">
        <v>156</v>
      </c>
      <c r="E45" s="23" t="s">
        <v>23</v>
      </c>
      <c r="F45" s="23" t="s">
        <v>24</v>
      </c>
      <c r="G45" s="23" t="s">
        <v>246</v>
      </c>
      <c r="H45" s="23" t="s">
        <v>170</v>
      </c>
      <c r="I45" s="26" t="s">
        <v>193</v>
      </c>
      <c r="J45" s="23" t="s">
        <v>247</v>
      </c>
      <c r="K45" s="23" t="s">
        <v>248</v>
      </c>
      <c r="L45" s="23" t="s">
        <v>249</v>
      </c>
      <c r="M45" s="23" t="s">
        <v>58</v>
      </c>
      <c r="N45" s="23" t="s">
        <v>32</v>
      </c>
      <c r="O45" s="23" t="s">
        <v>197</v>
      </c>
      <c r="P45" s="23" t="s">
        <v>34</v>
      </c>
      <c r="Q45" s="27" t="str">
        <f>HYPERLINK("https://ovopark.oss-cn-hangzhou.aliyuncs.com/2022/07/06/image_1657110887199.jpg","查看图片")</f>
        <v>查看图片</v>
      </c>
      <c r="R45" s="23" t="s">
        <v>35</v>
      </c>
      <c r="S45" s="23" t="s">
        <v>250</v>
      </c>
      <c r="T45" s="23" t="s">
        <v>37</v>
      </c>
    </row>
    <row r="46" s="17" customFormat="1" hidden="1" customHeight="1" spans="3:20">
      <c r="C46" s="23" t="s">
        <v>138</v>
      </c>
      <c r="D46" s="23" t="s">
        <v>161</v>
      </c>
      <c r="E46" s="23" t="s">
        <v>23</v>
      </c>
      <c r="F46" s="23" t="s">
        <v>24</v>
      </c>
      <c r="G46" s="23" t="s">
        <v>246</v>
      </c>
      <c r="H46" s="23" t="s">
        <v>170</v>
      </c>
      <c r="I46" s="26" t="s">
        <v>193</v>
      </c>
      <c r="J46" s="23" t="s">
        <v>251</v>
      </c>
      <c r="K46" s="23" t="s">
        <v>252</v>
      </c>
      <c r="L46" s="23" t="s">
        <v>249</v>
      </c>
      <c r="M46" s="23" t="s">
        <v>58</v>
      </c>
      <c r="N46" s="23" t="s">
        <v>32</v>
      </c>
      <c r="O46" s="23" t="s">
        <v>197</v>
      </c>
      <c r="P46" s="23" t="s">
        <v>34</v>
      </c>
      <c r="Q46" s="27" t="str">
        <f>HYPERLINK("https://ovopark.oss-cn-hangzhou.aliyuncs.com/2022/07/06/image_1657110928430.jpg","查看图片")</f>
        <v>查看图片</v>
      </c>
      <c r="R46" s="23" t="s">
        <v>35</v>
      </c>
      <c r="S46" s="23" t="s">
        <v>253</v>
      </c>
      <c r="T46" s="23" t="s">
        <v>37</v>
      </c>
    </row>
    <row r="47" s="17" customFormat="1" hidden="1" customHeight="1" spans="3:20">
      <c r="C47" s="23" t="s">
        <v>138</v>
      </c>
      <c r="D47" s="23" t="s">
        <v>139</v>
      </c>
      <c r="E47" s="23" t="s">
        <v>23</v>
      </c>
      <c r="F47" s="23" t="s">
        <v>24</v>
      </c>
      <c r="G47" s="23" t="s">
        <v>246</v>
      </c>
      <c r="H47" s="23" t="s">
        <v>170</v>
      </c>
      <c r="I47" s="26" t="s">
        <v>193</v>
      </c>
      <c r="J47" s="23" t="s">
        <v>254</v>
      </c>
      <c r="K47" s="23" t="s">
        <v>255</v>
      </c>
      <c r="L47" s="23" t="s">
        <v>249</v>
      </c>
      <c r="M47" s="23" t="s">
        <v>58</v>
      </c>
      <c r="N47" s="23" t="s">
        <v>32</v>
      </c>
      <c r="O47" s="23" t="s">
        <v>197</v>
      </c>
      <c r="P47" s="23" t="s">
        <v>34</v>
      </c>
      <c r="Q47" s="27" t="str">
        <f>HYPERLINK("https://ovopark.oss-cn-hangzhou.aliyuncs.com/2022/07/06/image_1657110955131.jpg","查看图片")</f>
        <v>查看图片</v>
      </c>
      <c r="R47" s="23" t="s">
        <v>35</v>
      </c>
      <c r="S47" s="23" t="s">
        <v>256</v>
      </c>
      <c r="T47" s="23" t="s">
        <v>37</v>
      </c>
    </row>
    <row r="48" s="17" customFormat="1" hidden="1" customHeight="1" spans="3:20">
      <c r="C48" s="23" t="s">
        <v>138</v>
      </c>
      <c r="D48" s="23" t="s">
        <v>257</v>
      </c>
      <c r="E48" s="23" t="s">
        <v>23</v>
      </c>
      <c r="F48" s="23" t="s">
        <v>24</v>
      </c>
      <c r="G48" s="23" t="s">
        <v>258</v>
      </c>
      <c r="H48" s="23" t="s">
        <v>170</v>
      </c>
      <c r="I48" s="26" t="s">
        <v>193</v>
      </c>
      <c r="J48" s="23" t="s">
        <v>259</v>
      </c>
      <c r="K48" s="23" t="s">
        <v>260</v>
      </c>
      <c r="L48" s="23" t="s">
        <v>249</v>
      </c>
      <c r="M48" s="23" t="s">
        <v>58</v>
      </c>
      <c r="N48" s="23" t="s">
        <v>32</v>
      </c>
      <c r="O48" s="23" t="s">
        <v>197</v>
      </c>
      <c r="P48" s="23" t="s">
        <v>34</v>
      </c>
      <c r="Q48" s="27" t="str">
        <f>HYPERLINK("https://ovopark.oss-cn-hangzhou.aliyuncs.com/2022/07/06/image_1657111061175.jpg","查看图片")</f>
        <v>查看图片</v>
      </c>
      <c r="R48" s="23" t="s">
        <v>35</v>
      </c>
      <c r="S48" s="23" t="s">
        <v>261</v>
      </c>
      <c r="T48" s="23" t="s">
        <v>37</v>
      </c>
    </row>
    <row r="49" s="17" customFormat="1" hidden="1" customHeight="1" spans="3:20">
      <c r="C49" s="23" t="s">
        <v>138</v>
      </c>
      <c r="D49" s="23" t="s">
        <v>147</v>
      </c>
      <c r="E49" s="23" t="s">
        <v>23</v>
      </c>
      <c r="F49" s="23" t="s">
        <v>24</v>
      </c>
      <c r="G49" s="23" t="s">
        <v>262</v>
      </c>
      <c r="H49" s="23" t="s">
        <v>131</v>
      </c>
      <c r="I49" s="26" t="s">
        <v>206</v>
      </c>
      <c r="J49" s="23" t="s">
        <v>263</v>
      </c>
      <c r="K49" s="23" t="s">
        <v>264</v>
      </c>
      <c r="L49" s="23" t="s">
        <v>249</v>
      </c>
      <c r="M49" s="23" t="s">
        <v>58</v>
      </c>
      <c r="N49" s="23" t="s">
        <v>32</v>
      </c>
      <c r="O49" s="23" t="s">
        <v>197</v>
      </c>
      <c r="P49" s="23" t="s">
        <v>34</v>
      </c>
      <c r="Q49" s="27" t="str">
        <f>HYPERLINK("https://ovopark.oss-cn-hangzhou.aliyuncs.com/2022/07/06/image_1657111158574.jpg","查看图片")</f>
        <v>查看图片</v>
      </c>
      <c r="R49" s="23" t="s">
        <v>35</v>
      </c>
      <c r="S49" s="23" t="s">
        <v>265</v>
      </c>
      <c r="T49" s="23" t="s">
        <v>37</v>
      </c>
    </row>
    <row r="50" s="17" customFormat="1" hidden="1" customHeight="1" spans="3:20">
      <c r="C50" s="23" t="s">
        <v>138</v>
      </c>
      <c r="D50" s="23" t="s">
        <v>152</v>
      </c>
      <c r="E50" s="23" t="s">
        <v>23</v>
      </c>
      <c r="F50" s="23" t="s">
        <v>24</v>
      </c>
      <c r="G50" s="23" t="s">
        <v>262</v>
      </c>
      <c r="H50" s="23" t="s">
        <v>131</v>
      </c>
      <c r="I50" s="26" t="s">
        <v>206</v>
      </c>
      <c r="J50" s="23" t="s">
        <v>266</v>
      </c>
      <c r="K50" s="23" t="s">
        <v>267</v>
      </c>
      <c r="L50" s="23" t="s">
        <v>249</v>
      </c>
      <c r="M50" s="23" t="s">
        <v>58</v>
      </c>
      <c r="N50" s="23" t="s">
        <v>32</v>
      </c>
      <c r="O50" s="23" t="s">
        <v>197</v>
      </c>
      <c r="P50" s="23" t="s">
        <v>34</v>
      </c>
      <c r="Q50" s="23" t="s">
        <v>34</v>
      </c>
      <c r="R50" s="23" t="s">
        <v>35</v>
      </c>
      <c r="S50" s="23" t="s">
        <v>268</v>
      </c>
      <c r="T50" s="23" t="s">
        <v>37</v>
      </c>
    </row>
    <row r="51" s="17" customFormat="1" hidden="1" customHeight="1" spans="3:20">
      <c r="C51" s="23" t="s">
        <v>138</v>
      </c>
      <c r="D51" s="23" t="s">
        <v>147</v>
      </c>
      <c r="E51" s="23" t="s">
        <v>23</v>
      </c>
      <c r="F51" s="23" t="s">
        <v>24</v>
      </c>
      <c r="G51" s="23" t="s">
        <v>269</v>
      </c>
      <c r="H51" s="23" t="s">
        <v>27</v>
      </c>
      <c r="I51" s="26" t="s">
        <v>141</v>
      </c>
      <c r="J51" s="23" t="s">
        <v>270</v>
      </c>
      <c r="K51" s="23" t="s">
        <v>271</v>
      </c>
      <c r="L51" s="23" t="s">
        <v>272</v>
      </c>
      <c r="M51" s="23" t="s">
        <v>58</v>
      </c>
      <c r="N51" s="23" t="s">
        <v>32</v>
      </c>
      <c r="O51" s="23" t="s">
        <v>145</v>
      </c>
      <c r="P51" s="23" t="s">
        <v>34</v>
      </c>
      <c r="Q51" s="27" t="str">
        <f>HYPERLINK("http://ovopark.oss-cn-hangzhou.aliyuncs.com/2015_2001825088975266_IMG_20220701_164556.jpg","查看图片")</f>
        <v>查看图片</v>
      </c>
      <c r="R51" s="23" t="s">
        <v>35</v>
      </c>
      <c r="S51" s="23" t="s">
        <v>273</v>
      </c>
      <c r="T51" s="23" t="s">
        <v>37</v>
      </c>
    </row>
    <row r="52" s="17" customFormat="1" hidden="1" customHeight="1" spans="3:20">
      <c r="C52" s="23" t="s">
        <v>138</v>
      </c>
      <c r="D52" s="23" t="s">
        <v>139</v>
      </c>
      <c r="E52" s="23" t="s">
        <v>23</v>
      </c>
      <c r="F52" s="23" t="s">
        <v>24</v>
      </c>
      <c r="G52" s="23" t="s">
        <v>274</v>
      </c>
      <c r="H52" s="23" t="s">
        <v>27</v>
      </c>
      <c r="I52" s="26" t="s">
        <v>141</v>
      </c>
      <c r="J52" s="23" t="s">
        <v>275</v>
      </c>
      <c r="K52" s="23" t="s">
        <v>276</v>
      </c>
      <c r="L52" s="23" t="s">
        <v>272</v>
      </c>
      <c r="M52" s="23" t="s">
        <v>58</v>
      </c>
      <c r="N52" s="23" t="s">
        <v>32</v>
      </c>
      <c r="O52" s="23" t="s">
        <v>145</v>
      </c>
      <c r="P52" s="23" t="s">
        <v>34</v>
      </c>
      <c r="Q52" s="27" t="str">
        <f>HYPERLINK("http://ovopark.oss-cn-hangzhou.aliyuncs.com/2015_2001922992660147_1655880377929.jpg","查看图片")</f>
        <v>查看图片</v>
      </c>
      <c r="R52" s="23" t="s">
        <v>35</v>
      </c>
      <c r="S52" s="23" t="s">
        <v>277</v>
      </c>
      <c r="T52" s="23" t="s">
        <v>37</v>
      </c>
    </row>
    <row r="53" s="17" customFormat="1" customHeight="1" spans="1:41">
      <c r="A53" s="20">
        <v>738</v>
      </c>
      <c r="B53" s="20" t="s">
        <v>278</v>
      </c>
      <c r="C53" s="23" t="s">
        <v>138</v>
      </c>
      <c r="D53" s="23" t="s">
        <v>139</v>
      </c>
      <c r="E53" s="23" t="s">
        <v>23</v>
      </c>
      <c r="F53" s="23" t="s">
        <v>24</v>
      </c>
      <c r="G53" s="23" t="s">
        <v>279</v>
      </c>
      <c r="H53" s="23" t="s">
        <v>27</v>
      </c>
      <c r="I53" s="26" t="s">
        <v>141</v>
      </c>
      <c r="J53" s="23" t="s">
        <v>280</v>
      </c>
      <c r="K53" s="23" t="s">
        <v>281</v>
      </c>
      <c r="L53" s="23" t="s">
        <v>282</v>
      </c>
      <c r="M53" s="25" t="s">
        <v>31</v>
      </c>
      <c r="N53" s="23" t="s">
        <v>32</v>
      </c>
      <c r="O53" s="23" t="s">
        <v>145</v>
      </c>
      <c r="P53" s="23" t="s">
        <v>34</v>
      </c>
      <c r="Q53" s="27" t="str">
        <f>HYPERLINK("https://ovopark.oss-cn-hangzhou.aliyuncs.com/2022/07/03/0_62_20220703213101_7427.jpeg","查看图片")</f>
        <v>查看图片</v>
      </c>
      <c r="R53" s="23" t="s">
        <v>35</v>
      </c>
      <c r="S53" s="23" t="s">
        <v>283</v>
      </c>
      <c r="T53" s="23" t="s">
        <v>37</v>
      </c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1"/>
      <c r="AI53" s="20"/>
      <c r="AJ53" s="20"/>
      <c r="AK53" s="20"/>
      <c r="AL53" s="20"/>
      <c r="AM53" s="20"/>
      <c r="AN53" s="20"/>
      <c r="AO53" s="20"/>
    </row>
    <row r="54" s="17" customFormat="1" customHeight="1" spans="1:41">
      <c r="A54" s="20">
        <v>738</v>
      </c>
      <c r="B54" s="20" t="s">
        <v>278</v>
      </c>
      <c r="C54" s="23" t="s">
        <v>138</v>
      </c>
      <c r="D54" s="23" t="s">
        <v>147</v>
      </c>
      <c r="E54" s="23" t="s">
        <v>23</v>
      </c>
      <c r="F54" s="23" t="s">
        <v>24</v>
      </c>
      <c r="G54" s="23" t="s">
        <v>284</v>
      </c>
      <c r="H54" s="23" t="s">
        <v>27</v>
      </c>
      <c r="I54" s="26" t="s">
        <v>141</v>
      </c>
      <c r="J54" s="23" t="s">
        <v>285</v>
      </c>
      <c r="K54" s="23" t="s">
        <v>286</v>
      </c>
      <c r="L54" s="23" t="s">
        <v>282</v>
      </c>
      <c r="M54" s="25" t="s">
        <v>31</v>
      </c>
      <c r="N54" s="23" t="s">
        <v>32</v>
      </c>
      <c r="O54" s="23" t="s">
        <v>145</v>
      </c>
      <c r="P54" s="23" t="s">
        <v>34</v>
      </c>
      <c r="Q54" s="27" t="str">
        <f>HYPERLINK("https://ovopark.oss-cn-hangzhou.aliyuncs.com/2022/07/03/0_62_20220703213123_2287.jpeg","查看图片")</f>
        <v>查看图片</v>
      </c>
      <c r="R54" s="23" t="s">
        <v>35</v>
      </c>
      <c r="S54" s="23" t="s">
        <v>287</v>
      </c>
      <c r="T54" s="23" t="s">
        <v>37</v>
      </c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1"/>
      <c r="AI54" s="20"/>
      <c r="AJ54" s="20"/>
      <c r="AK54" s="20"/>
      <c r="AL54" s="20"/>
      <c r="AM54" s="20"/>
      <c r="AN54" s="20"/>
      <c r="AO54" s="20"/>
    </row>
    <row r="55" s="17" customFormat="1" customHeight="1" spans="1:41">
      <c r="A55" s="20">
        <v>738</v>
      </c>
      <c r="B55" s="20" t="s">
        <v>278</v>
      </c>
      <c r="C55" s="23" t="s">
        <v>138</v>
      </c>
      <c r="D55" s="23" t="s">
        <v>152</v>
      </c>
      <c r="E55" s="23" t="s">
        <v>23</v>
      </c>
      <c r="F55" s="23" t="s">
        <v>24</v>
      </c>
      <c r="G55" s="23" t="s">
        <v>284</v>
      </c>
      <c r="H55" s="23" t="s">
        <v>27</v>
      </c>
      <c r="I55" s="26" t="s">
        <v>141</v>
      </c>
      <c r="J55" s="23" t="s">
        <v>288</v>
      </c>
      <c r="K55" s="23" t="s">
        <v>289</v>
      </c>
      <c r="L55" s="23" t="s">
        <v>282</v>
      </c>
      <c r="M55" s="25" t="s">
        <v>31</v>
      </c>
      <c r="N55" s="23" t="s">
        <v>32</v>
      </c>
      <c r="O55" s="23" t="s">
        <v>145</v>
      </c>
      <c r="P55" s="23" t="s">
        <v>34</v>
      </c>
      <c r="Q55" s="27" t="str">
        <f>HYPERLINK("https://ovopark.oss-cn-hangzhou.aliyuncs.com/2022/07/03/0_62_20220703213141_5836.jpeg","查看图片")</f>
        <v>查看图片</v>
      </c>
      <c r="R55" s="23" t="s">
        <v>35</v>
      </c>
      <c r="S55" s="23" t="s">
        <v>290</v>
      </c>
      <c r="T55" s="23" t="s">
        <v>37</v>
      </c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1"/>
      <c r="AI55" s="20"/>
      <c r="AJ55" s="20"/>
      <c r="AK55" s="20"/>
      <c r="AL55" s="20"/>
      <c r="AM55" s="20"/>
      <c r="AN55" s="20"/>
      <c r="AO55" s="20"/>
    </row>
    <row r="56" s="17" customFormat="1" customHeight="1" spans="1:41">
      <c r="A56" s="20">
        <v>738</v>
      </c>
      <c r="B56" s="20" t="s">
        <v>278</v>
      </c>
      <c r="C56" s="23" t="s">
        <v>291</v>
      </c>
      <c r="D56" s="23" t="s">
        <v>292</v>
      </c>
      <c r="E56" s="23" t="s">
        <v>23</v>
      </c>
      <c r="F56" s="23" t="s">
        <v>24</v>
      </c>
      <c r="G56" s="23" t="s">
        <v>293</v>
      </c>
      <c r="H56" s="23" t="s">
        <v>27</v>
      </c>
      <c r="I56" s="26" t="s">
        <v>141</v>
      </c>
      <c r="J56" s="23" t="s">
        <v>294</v>
      </c>
      <c r="K56" s="23" t="s">
        <v>295</v>
      </c>
      <c r="L56" s="23" t="s">
        <v>282</v>
      </c>
      <c r="M56" s="25" t="s">
        <v>31</v>
      </c>
      <c r="N56" s="23" t="s">
        <v>32</v>
      </c>
      <c r="O56" s="23" t="s">
        <v>145</v>
      </c>
      <c r="P56" s="27" t="str">
        <f>HYPERLINK("https://ovopark.oss-cn-hangzhou.aliyuncs.com/4996d9d3a8955cb8d3f6013c7adb0f6f.jpg?x-oss-process=image/resize,w_700,l_700","查看图片")</f>
        <v>查看图片</v>
      </c>
      <c r="Q56" s="27" t="str">
        <f>HYPERLINK("https://ovopark.oss-cn-hangzhou.aliyuncs.com/2022/07/03/0_62_20220703213203_2554.jpeg","查看图片")</f>
        <v>查看图片</v>
      </c>
      <c r="R56" s="23" t="s">
        <v>35</v>
      </c>
      <c r="S56" s="23" t="s">
        <v>296</v>
      </c>
      <c r="T56" s="23" t="s">
        <v>37</v>
      </c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1"/>
      <c r="AI56" s="20"/>
      <c r="AJ56" s="20"/>
      <c r="AK56" s="20"/>
      <c r="AL56" s="20"/>
      <c r="AM56" s="20"/>
      <c r="AN56" s="20"/>
      <c r="AO56" s="20"/>
    </row>
    <row r="57" s="17" customFormat="1" customHeight="1" spans="1:41">
      <c r="A57" s="20">
        <v>738</v>
      </c>
      <c r="B57" s="20" t="s">
        <v>278</v>
      </c>
      <c r="C57" s="23" t="s">
        <v>138</v>
      </c>
      <c r="D57" s="23" t="s">
        <v>156</v>
      </c>
      <c r="E57" s="23" t="s">
        <v>23</v>
      </c>
      <c r="F57" s="23" t="s">
        <v>24</v>
      </c>
      <c r="G57" s="23" t="s">
        <v>297</v>
      </c>
      <c r="H57" s="23" t="s">
        <v>27</v>
      </c>
      <c r="I57" s="26" t="s">
        <v>141</v>
      </c>
      <c r="J57" s="23" t="s">
        <v>298</v>
      </c>
      <c r="K57" s="23" t="s">
        <v>299</v>
      </c>
      <c r="L57" s="23" t="s">
        <v>282</v>
      </c>
      <c r="M57" s="25" t="s">
        <v>31</v>
      </c>
      <c r="N57" s="23" t="s">
        <v>32</v>
      </c>
      <c r="O57" s="23" t="s">
        <v>145</v>
      </c>
      <c r="P57" s="23" t="s">
        <v>34</v>
      </c>
      <c r="Q57" s="27" t="str">
        <f>HYPERLINK("https://ovopark.oss-cn-hangzhou.aliyuncs.com/2022/07/03/0_62_20220703213235_2899.jpeg","查看图片")</f>
        <v>查看图片</v>
      </c>
      <c r="R57" s="23" t="s">
        <v>35</v>
      </c>
      <c r="S57" s="23" t="s">
        <v>300</v>
      </c>
      <c r="T57" s="23" t="s">
        <v>37</v>
      </c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1"/>
      <c r="AI57" s="20"/>
      <c r="AJ57" s="20"/>
      <c r="AK57" s="20"/>
      <c r="AL57" s="20"/>
      <c r="AM57" s="20"/>
      <c r="AN57" s="20"/>
      <c r="AO57" s="20"/>
    </row>
    <row r="58" s="17" customFormat="1" customHeight="1" spans="1:41">
      <c r="A58" s="20">
        <v>738</v>
      </c>
      <c r="B58" s="20" t="s">
        <v>278</v>
      </c>
      <c r="C58" s="23" t="s">
        <v>138</v>
      </c>
      <c r="D58" s="23" t="s">
        <v>161</v>
      </c>
      <c r="E58" s="23" t="s">
        <v>23</v>
      </c>
      <c r="F58" s="23" t="s">
        <v>24</v>
      </c>
      <c r="G58" s="23" t="s">
        <v>297</v>
      </c>
      <c r="H58" s="23" t="s">
        <v>27</v>
      </c>
      <c r="I58" s="26" t="s">
        <v>141</v>
      </c>
      <c r="J58" s="23" t="s">
        <v>301</v>
      </c>
      <c r="K58" s="23" t="s">
        <v>302</v>
      </c>
      <c r="L58" s="23" t="s">
        <v>282</v>
      </c>
      <c r="M58" s="25" t="s">
        <v>31</v>
      </c>
      <c r="N58" s="23" t="s">
        <v>32</v>
      </c>
      <c r="O58" s="23" t="s">
        <v>145</v>
      </c>
      <c r="P58" s="23" t="s">
        <v>34</v>
      </c>
      <c r="Q58" s="27" t="str">
        <f>HYPERLINK("https://ovopark.oss-cn-hangzhou.aliyuncs.com/2022/07/03/0_62_20220703213302_31.jpeg","查看图片")</f>
        <v>查看图片</v>
      </c>
      <c r="R58" s="23" t="s">
        <v>35</v>
      </c>
      <c r="S58" s="23" t="s">
        <v>303</v>
      </c>
      <c r="T58" s="23" t="s">
        <v>37</v>
      </c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1"/>
      <c r="AI58" s="20"/>
      <c r="AJ58" s="20"/>
      <c r="AK58" s="20"/>
      <c r="AL58" s="20"/>
      <c r="AM58" s="20"/>
      <c r="AN58" s="20"/>
      <c r="AO58" s="20"/>
    </row>
    <row r="59" s="17" customFormat="1" customHeight="1" spans="1:41">
      <c r="A59" s="20">
        <v>738</v>
      </c>
      <c r="B59" s="20" t="s">
        <v>278</v>
      </c>
      <c r="C59" s="23" t="s">
        <v>138</v>
      </c>
      <c r="D59" s="23" t="s">
        <v>139</v>
      </c>
      <c r="E59" s="23" t="s">
        <v>23</v>
      </c>
      <c r="F59" s="23" t="s">
        <v>24</v>
      </c>
      <c r="G59" s="23" t="s">
        <v>297</v>
      </c>
      <c r="H59" s="23" t="s">
        <v>27</v>
      </c>
      <c r="I59" s="26" t="s">
        <v>141</v>
      </c>
      <c r="J59" s="23" t="s">
        <v>304</v>
      </c>
      <c r="K59" s="23" t="s">
        <v>305</v>
      </c>
      <c r="L59" s="23" t="s">
        <v>282</v>
      </c>
      <c r="M59" s="25" t="s">
        <v>31</v>
      </c>
      <c r="N59" s="23" t="s">
        <v>32</v>
      </c>
      <c r="O59" s="23" t="s">
        <v>145</v>
      </c>
      <c r="P59" s="23" t="s">
        <v>34</v>
      </c>
      <c r="Q59" s="27" t="str">
        <f>HYPERLINK("https://ovopark.oss-cn-hangzhou.aliyuncs.com/2022/07/03/0_62_20220703213318_4399.jpeg","查看图片")</f>
        <v>查看图片</v>
      </c>
      <c r="R59" s="23" t="s">
        <v>35</v>
      </c>
      <c r="S59" s="23" t="s">
        <v>306</v>
      </c>
      <c r="T59" s="23" t="s">
        <v>37</v>
      </c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1"/>
      <c r="AI59" s="20"/>
      <c r="AJ59" s="20"/>
      <c r="AK59" s="20"/>
      <c r="AL59" s="20"/>
      <c r="AM59" s="20"/>
      <c r="AN59" s="20"/>
      <c r="AO59" s="20"/>
    </row>
    <row r="60" s="17" customFormat="1" customHeight="1" spans="1:41">
      <c r="A60" s="20">
        <v>738</v>
      </c>
      <c r="B60" s="20" t="s">
        <v>278</v>
      </c>
      <c r="C60" s="23" t="s">
        <v>291</v>
      </c>
      <c r="D60" s="23" t="s">
        <v>292</v>
      </c>
      <c r="E60" s="23" t="s">
        <v>23</v>
      </c>
      <c r="F60" s="23" t="s">
        <v>24</v>
      </c>
      <c r="G60" s="23" t="s">
        <v>307</v>
      </c>
      <c r="H60" s="23" t="s">
        <v>27</v>
      </c>
      <c r="I60" s="26" t="s">
        <v>141</v>
      </c>
      <c r="J60" s="23" t="s">
        <v>308</v>
      </c>
      <c r="K60" s="23" t="s">
        <v>309</v>
      </c>
      <c r="L60" s="23" t="s">
        <v>282</v>
      </c>
      <c r="M60" s="25" t="s">
        <v>31</v>
      </c>
      <c r="N60" s="23" t="s">
        <v>32</v>
      </c>
      <c r="O60" s="23" t="s">
        <v>145</v>
      </c>
      <c r="P60" s="27" t="str">
        <f>HYPERLINK("https://ovopark.oss-cn-hangzhou.aliyuncs.com/82fcc15d71dfa2f93cb472ee5f3d7f9a.jpg?x-oss-process=image/resize,w_700,l_700","查看图片")</f>
        <v>查看图片</v>
      </c>
      <c r="Q60" s="27" t="str">
        <f>HYPERLINK("https://ovopark.oss-cn-hangzhou.aliyuncs.com/2022/07/03/0_62_20220703213337_1683.jpeg","查看图片")</f>
        <v>查看图片</v>
      </c>
      <c r="R60" s="23" t="s">
        <v>35</v>
      </c>
      <c r="S60" s="23" t="s">
        <v>310</v>
      </c>
      <c r="T60" s="23" t="s">
        <v>37</v>
      </c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1"/>
      <c r="AI60" s="20"/>
      <c r="AJ60" s="20"/>
      <c r="AK60" s="20"/>
      <c r="AL60" s="20"/>
      <c r="AM60" s="20"/>
      <c r="AN60" s="20"/>
      <c r="AO60" s="20"/>
    </row>
    <row r="61" s="17" customFormat="1" customHeight="1" spans="1:41">
      <c r="A61" s="20">
        <v>367</v>
      </c>
      <c r="B61" s="20" t="s">
        <v>311</v>
      </c>
      <c r="C61" s="23" t="s">
        <v>21</v>
      </c>
      <c r="D61" s="23" t="s">
        <v>22</v>
      </c>
      <c r="E61" s="23" t="s">
        <v>23</v>
      </c>
      <c r="F61" s="23" t="s">
        <v>24</v>
      </c>
      <c r="G61" s="23" t="s">
        <v>312</v>
      </c>
      <c r="H61" s="23" t="s">
        <v>26</v>
      </c>
      <c r="I61" s="26" t="s">
        <v>27</v>
      </c>
      <c r="J61" s="23" t="s">
        <v>313</v>
      </c>
      <c r="K61" s="23" t="s">
        <v>314</v>
      </c>
      <c r="L61" s="23" t="s">
        <v>315</v>
      </c>
      <c r="M61" s="25" t="s">
        <v>31</v>
      </c>
      <c r="N61" s="23" t="s">
        <v>32</v>
      </c>
      <c r="O61" s="23" t="s">
        <v>33</v>
      </c>
      <c r="P61" s="23" t="s">
        <v>34</v>
      </c>
      <c r="Q61" s="23" t="s">
        <v>34</v>
      </c>
      <c r="R61" s="23" t="s">
        <v>35</v>
      </c>
      <c r="S61" s="23" t="s">
        <v>316</v>
      </c>
      <c r="T61" s="23" t="s">
        <v>37</v>
      </c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1"/>
      <c r="AI61" s="20"/>
      <c r="AJ61" s="20"/>
      <c r="AK61" s="20"/>
      <c r="AL61" s="20"/>
      <c r="AM61" s="20"/>
      <c r="AN61" s="20"/>
      <c r="AO61" s="20"/>
    </row>
    <row r="62" s="17" customFormat="1" customHeight="1" spans="1:41">
      <c r="A62" s="20">
        <v>54</v>
      </c>
      <c r="B62" s="20" t="s">
        <v>317</v>
      </c>
      <c r="C62" s="23" t="s">
        <v>21</v>
      </c>
      <c r="D62" s="23" t="s">
        <v>22</v>
      </c>
      <c r="E62" s="23" t="s">
        <v>23</v>
      </c>
      <c r="F62" s="23" t="s">
        <v>24</v>
      </c>
      <c r="G62" s="23" t="s">
        <v>318</v>
      </c>
      <c r="H62" s="23" t="s">
        <v>26</v>
      </c>
      <c r="I62" s="26" t="s">
        <v>27</v>
      </c>
      <c r="J62" s="23" t="s">
        <v>319</v>
      </c>
      <c r="K62" s="23" t="s">
        <v>320</v>
      </c>
      <c r="L62" s="23" t="s">
        <v>321</v>
      </c>
      <c r="M62" s="25" t="s">
        <v>31</v>
      </c>
      <c r="N62" s="23" t="s">
        <v>32</v>
      </c>
      <c r="O62" s="23" t="s">
        <v>33</v>
      </c>
      <c r="P62" s="23" t="s">
        <v>34</v>
      </c>
      <c r="Q62" s="23" t="s">
        <v>34</v>
      </c>
      <c r="R62" s="23" t="s">
        <v>35</v>
      </c>
      <c r="S62" s="23" t="s">
        <v>322</v>
      </c>
      <c r="T62" s="23" t="s">
        <v>37</v>
      </c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1"/>
      <c r="AI62" s="20"/>
      <c r="AJ62" s="20"/>
      <c r="AK62" s="20"/>
      <c r="AL62" s="20"/>
      <c r="AM62" s="20"/>
      <c r="AN62" s="20"/>
      <c r="AO62" s="20"/>
    </row>
    <row r="63" s="17" customFormat="1" customHeight="1" spans="1:41">
      <c r="A63" s="20">
        <v>103198</v>
      </c>
      <c r="B63" s="20" t="s">
        <v>323</v>
      </c>
      <c r="C63" s="23" t="s">
        <v>138</v>
      </c>
      <c r="D63" s="23" t="s">
        <v>147</v>
      </c>
      <c r="E63" s="23" t="s">
        <v>23</v>
      </c>
      <c r="F63" s="23" t="s">
        <v>24</v>
      </c>
      <c r="G63" s="23" t="s">
        <v>324</v>
      </c>
      <c r="H63" s="23" t="s">
        <v>131</v>
      </c>
      <c r="I63" s="26" t="s">
        <v>206</v>
      </c>
      <c r="J63" s="23" t="s">
        <v>325</v>
      </c>
      <c r="K63" s="23" t="s">
        <v>326</v>
      </c>
      <c r="L63" s="23" t="s">
        <v>327</v>
      </c>
      <c r="M63" s="25" t="s">
        <v>31</v>
      </c>
      <c r="N63" s="23" t="s">
        <v>32</v>
      </c>
      <c r="O63" s="23" t="s">
        <v>197</v>
      </c>
      <c r="P63" s="23" t="s">
        <v>34</v>
      </c>
      <c r="Q63" s="27" t="str">
        <f>HYPERLINK("https://ovopark.oss-cn-hangzhou.aliyuncs.com/2022/07/03/image_1656833729201.jpg","查看图片")</f>
        <v>查看图片</v>
      </c>
      <c r="R63" s="23" t="s">
        <v>35</v>
      </c>
      <c r="S63" s="23" t="s">
        <v>328</v>
      </c>
      <c r="T63" s="23" t="s">
        <v>37</v>
      </c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1"/>
      <c r="AI63" s="20"/>
      <c r="AJ63" s="20"/>
      <c r="AK63" s="20"/>
      <c r="AL63" s="20"/>
      <c r="AM63" s="20"/>
      <c r="AN63" s="20"/>
      <c r="AO63" s="20"/>
    </row>
    <row r="64" s="17" customFormat="1" customHeight="1" spans="1:41">
      <c r="A64" s="20">
        <v>103198</v>
      </c>
      <c r="B64" s="20" t="s">
        <v>323</v>
      </c>
      <c r="C64" s="23" t="s">
        <v>138</v>
      </c>
      <c r="D64" s="23" t="s">
        <v>152</v>
      </c>
      <c r="E64" s="23" t="s">
        <v>23</v>
      </c>
      <c r="F64" s="23" t="s">
        <v>24</v>
      </c>
      <c r="G64" s="23" t="s">
        <v>324</v>
      </c>
      <c r="H64" s="23" t="s">
        <v>131</v>
      </c>
      <c r="I64" s="26" t="s">
        <v>206</v>
      </c>
      <c r="J64" s="23" t="s">
        <v>329</v>
      </c>
      <c r="K64" s="23" t="s">
        <v>330</v>
      </c>
      <c r="L64" s="23" t="s">
        <v>327</v>
      </c>
      <c r="M64" s="25" t="s">
        <v>31</v>
      </c>
      <c r="N64" s="23" t="s">
        <v>32</v>
      </c>
      <c r="O64" s="23" t="s">
        <v>197</v>
      </c>
      <c r="P64" s="23" t="s">
        <v>34</v>
      </c>
      <c r="Q64" s="27" t="str">
        <f>HYPERLINK("https://ovopark.oss-cn-hangzhou.aliyuncs.com/2022/07/03/image_1656833784311.jpg","查看图片")</f>
        <v>查看图片</v>
      </c>
      <c r="R64" s="23" t="s">
        <v>35</v>
      </c>
      <c r="S64" s="23" t="s">
        <v>331</v>
      </c>
      <c r="T64" s="23" t="s">
        <v>37</v>
      </c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1"/>
      <c r="AI64" s="20"/>
      <c r="AJ64" s="20"/>
      <c r="AK64" s="20"/>
      <c r="AL64" s="20"/>
      <c r="AM64" s="20"/>
      <c r="AN64" s="20"/>
      <c r="AO64" s="20"/>
    </row>
    <row r="65" s="17" customFormat="1" customHeight="1" spans="1:41">
      <c r="A65" s="20">
        <v>103198</v>
      </c>
      <c r="B65" s="20" t="s">
        <v>323</v>
      </c>
      <c r="C65" s="23" t="s">
        <v>21</v>
      </c>
      <c r="D65" s="23" t="s">
        <v>22</v>
      </c>
      <c r="E65" s="23" t="s">
        <v>23</v>
      </c>
      <c r="F65" s="23" t="s">
        <v>24</v>
      </c>
      <c r="G65" s="23" t="s">
        <v>332</v>
      </c>
      <c r="H65" s="23" t="s">
        <v>130</v>
      </c>
      <c r="I65" s="26" t="s">
        <v>131</v>
      </c>
      <c r="J65" s="23" t="s">
        <v>333</v>
      </c>
      <c r="K65" s="23" t="s">
        <v>334</v>
      </c>
      <c r="L65" s="23" t="s">
        <v>327</v>
      </c>
      <c r="M65" s="25" t="s">
        <v>31</v>
      </c>
      <c r="N65" s="23" t="s">
        <v>32</v>
      </c>
      <c r="O65" s="23" t="s">
        <v>197</v>
      </c>
      <c r="P65" s="23" t="s">
        <v>34</v>
      </c>
      <c r="Q65" s="27" t="str">
        <f>HYPERLINK("https://ovopark.oss-cn-hangzhou.aliyuncs.com/2022/07/03/image_1656833901597.jpg","查看图片")</f>
        <v>查看图片</v>
      </c>
      <c r="R65" s="23" t="s">
        <v>35</v>
      </c>
      <c r="S65" s="23" t="s">
        <v>335</v>
      </c>
      <c r="T65" s="23" t="s">
        <v>37</v>
      </c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1"/>
      <c r="AI65" s="20"/>
      <c r="AJ65" s="20"/>
      <c r="AK65" s="20"/>
      <c r="AL65" s="20"/>
      <c r="AM65" s="20"/>
      <c r="AN65" s="20"/>
      <c r="AO65" s="20"/>
    </row>
    <row r="66" s="17" customFormat="1" customHeight="1" spans="1:41">
      <c r="A66" s="20">
        <v>103198</v>
      </c>
      <c r="B66" s="20" t="s">
        <v>323</v>
      </c>
      <c r="C66" s="23" t="s">
        <v>138</v>
      </c>
      <c r="D66" s="23" t="s">
        <v>147</v>
      </c>
      <c r="E66" s="23" t="s">
        <v>23</v>
      </c>
      <c r="F66" s="23" t="s">
        <v>24</v>
      </c>
      <c r="G66" s="23" t="s">
        <v>336</v>
      </c>
      <c r="H66" s="23" t="s">
        <v>241</v>
      </c>
      <c r="I66" s="26" t="s">
        <v>130</v>
      </c>
      <c r="J66" s="23" t="s">
        <v>337</v>
      </c>
      <c r="K66" s="23" t="s">
        <v>338</v>
      </c>
      <c r="L66" s="23" t="s">
        <v>327</v>
      </c>
      <c r="M66" s="25" t="s">
        <v>31</v>
      </c>
      <c r="N66" s="23" t="s">
        <v>32</v>
      </c>
      <c r="O66" s="23" t="s">
        <v>197</v>
      </c>
      <c r="P66" s="23" t="s">
        <v>34</v>
      </c>
      <c r="Q66" s="27" t="str">
        <f>HYPERLINK("https://ovopark.oss-cn-hangzhou.aliyuncs.com/2022/07/03/mmexport1655815670148.jpg","查看图片")</f>
        <v>查看图片</v>
      </c>
      <c r="R66" s="23" t="s">
        <v>35</v>
      </c>
      <c r="S66" s="23" t="s">
        <v>339</v>
      </c>
      <c r="T66" s="23" t="s">
        <v>37</v>
      </c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1"/>
      <c r="AI66" s="20"/>
      <c r="AJ66" s="20"/>
      <c r="AK66" s="20"/>
      <c r="AL66" s="20"/>
      <c r="AM66" s="20"/>
      <c r="AN66" s="20"/>
      <c r="AO66" s="20"/>
    </row>
    <row r="67" s="17" customFormat="1" customHeight="1" spans="1:41">
      <c r="A67" s="20">
        <v>103198</v>
      </c>
      <c r="B67" s="20" t="s">
        <v>323</v>
      </c>
      <c r="C67" s="23" t="s">
        <v>138</v>
      </c>
      <c r="D67" s="23" t="s">
        <v>152</v>
      </c>
      <c r="E67" s="23" t="s">
        <v>23</v>
      </c>
      <c r="F67" s="23" t="s">
        <v>24</v>
      </c>
      <c r="G67" s="23" t="s">
        <v>336</v>
      </c>
      <c r="H67" s="23" t="s">
        <v>241</v>
      </c>
      <c r="I67" s="26" t="s">
        <v>130</v>
      </c>
      <c r="J67" s="23" t="s">
        <v>340</v>
      </c>
      <c r="K67" s="23" t="s">
        <v>341</v>
      </c>
      <c r="L67" s="23" t="s">
        <v>327</v>
      </c>
      <c r="M67" s="25" t="s">
        <v>31</v>
      </c>
      <c r="N67" s="23" t="s">
        <v>32</v>
      </c>
      <c r="O67" s="23" t="s">
        <v>197</v>
      </c>
      <c r="P67" s="23" t="s">
        <v>34</v>
      </c>
      <c r="Q67" s="27" t="str">
        <f>HYPERLINK("https://ovopark.oss-cn-hangzhou.aliyuncs.com/2022/07/03/image_1656833784311.jpg","查看图片")</f>
        <v>查看图片</v>
      </c>
      <c r="R67" s="23" t="s">
        <v>35</v>
      </c>
      <c r="S67" s="23" t="s">
        <v>342</v>
      </c>
      <c r="T67" s="23" t="s">
        <v>37</v>
      </c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1"/>
      <c r="AI67" s="20"/>
      <c r="AJ67" s="20"/>
      <c r="AK67" s="20"/>
      <c r="AL67" s="20"/>
      <c r="AM67" s="20"/>
      <c r="AN67" s="20"/>
      <c r="AO67" s="20"/>
    </row>
    <row r="68" s="17" customFormat="1" customHeight="1" spans="1:41">
      <c r="A68" s="20">
        <v>103198</v>
      </c>
      <c r="B68" s="20" t="s">
        <v>323</v>
      </c>
      <c r="C68" s="23" t="s">
        <v>138</v>
      </c>
      <c r="D68" s="23" t="s">
        <v>156</v>
      </c>
      <c r="E68" s="23" t="s">
        <v>23</v>
      </c>
      <c r="F68" s="23" t="s">
        <v>24</v>
      </c>
      <c r="G68" s="23" t="s">
        <v>343</v>
      </c>
      <c r="H68" s="23" t="s">
        <v>241</v>
      </c>
      <c r="I68" s="26" t="s">
        <v>130</v>
      </c>
      <c r="J68" s="23" t="s">
        <v>344</v>
      </c>
      <c r="K68" s="23" t="s">
        <v>345</v>
      </c>
      <c r="L68" s="23" t="s">
        <v>327</v>
      </c>
      <c r="M68" s="25" t="s">
        <v>31</v>
      </c>
      <c r="N68" s="23" t="s">
        <v>32</v>
      </c>
      <c r="O68" s="23" t="s">
        <v>197</v>
      </c>
      <c r="P68" s="23" t="s">
        <v>34</v>
      </c>
      <c r="Q68" s="27" t="str">
        <f>HYPERLINK("https://ovopark.oss-cn-hangzhou.aliyuncs.com/2022/07/03/image_1656834069490.jpg","查看图片")</f>
        <v>查看图片</v>
      </c>
      <c r="R68" s="23" t="s">
        <v>35</v>
      </c>
      <c r="S68" s="23" t="s">
        <v>346</v>
      </c>
      <c r="T68" s="23" t="s">
        <v>37</v>
      </c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1"/>
      <c r="AI68" s="20"/>
      <c r="AJ68" s="20"/>
      <c r="AK68" s="20"/>
      <c r="AL68" s="20"/>
      <c r="AM68" s="20"/>
      <c r="AN68" s="20"/>
      <c r="AO68" s="20"/>
    </row>
    <row r="69" s="17" customFormat="1" customHeight="1" spans="1:41">
      <c r="A69" s="20">
        <v>103198</v>
      </c>
      <c r="B69" s="20" t="s">
        <v>323</v>
      </c>
      <c r="C69" s="23" t="s">
        <v>138</v>
      </c>
      <c r="D69" s="23" t="s">
        <v>161</v>
      </c>
      <c r="E69" s="23" t="s">
        <v>23</v>
      </c>
      <c r="F69" s="23" t="s">
        <v>24</v>
      </c>
      <c r="G69" s="23" t="s">
        <v>343</v>
      </c>
      <c r="H69" s="23" t="s">
        <v>241</v>
      </c>
      <c r="I69" s="26" t="s">
        <v>130</v>
      </c>
      <c r="J69" s="23" t="s">
        <v>347</v>
      </c>
      <c r="K69" s="23" t="s">
        <v>348</v>
      </c>
      <c r="L69" s="23" t="s">
        <v>327</v>
      </c>
      <c r="M69" s="25" t="s">
        <v>31</v>
      </c>
      <c r="N69" s="23" t="s">
        <v>32</v>
      </c>
      <c r="O69" s="23" t="s">
        <v>197</v>
      </c>
      <c r="P69" s="23" t="s">
        <v>34</v>
      </c>
      <c r="Q69" s="27" t="str">
        <f>HYPERLINK("https://ovopark.oss-cn-hangzhou.aliyuncs.com/2022/07/03/image_1656833829836.jpg","查看图片")</f>
        <v>查看图片</v>
      </c>
      <c r="R69" s="23" t="s">
        <v>35</v>
      </c>
      <c r="S69" s="23" t="s">
        <v>349</v>
      </c>
      <c r="T69" s="23" t="s">
        <v>37</v>
      </c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1"/>
      <c r="AI69" s="20"/>
      <c r="AJ69" s="20"/>
      <c r="AK69" s="20"/>
      <c r="AL69" s="20"/>
      <c r="AM69" s="20"/>
      <c r="AN69" s="20"/>
      <c r="AO69" s="20"/>
    </row>
    <row r="70" s="17" customFormat="1" customHeight="1" spans="1:41">
      <c r="A70" s="20">
        <v>103198</v>
      </c>
      <c r="B70" s="20" t="s">
        <v>323</v>
      </c>
      <c r="C70" s="23" t="s">
        <v>138</v>
      </c>
      <c r="D70" s="23" t="s">
        <v>139</v>
      </c>
      <c r="E70" s="23" t="s">
        <v>23</v>
      </c>
      <c r="F70" s="23" t="s">
        <v>24</v>
      </c>
      <c r="G70" s="23" t="s">
        <v>343</v>
      </c>
      <c r="H70" s="23" t="s">
        <v>241</v>
      </c>
      <c r="I70" s="26" t="s">
        <v>130</v>
      </c>
      <c r="J70" s="23" t="s">
        <v>350</v>
      </c>
      <c r="K70" s="23" t="s">
        <v>351</v>
      </c>
      <c r="L70" s="23" t="s">
        <v>327</v>
      </c>
      <c r="M70" s="25" t="s">
        <v>31</v>
      </c>
      <c r="N70" s="23" t="s">
        <v>32</v>
      </c>
      <c r="O70" s="23" t="s">
        <v>197</v>
      </c>
      <c r="P70" s="23" t="s">
        <v>34</v>
      </c>
      <c r="Q70" s="27" t="str">
        <f>HYPERLINK("https://ovopark.oss-cn-hangzhou.aliyuncs.com/2022/07/03/image_1656833874904.jpg","查看图片")</f>
        <v>查看图片</v>
      </c>
      <c r="R70" s="23" t="s">
        <v>35</v>
      </c>
      <c r="S70" s="23" t="s">
        <v>352</v>
      </c>
      <c r="T70" s="23" t="s">
        <v>37</v>
      </c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1"/>
      <c r="AI70" s="20"/>
      <c r="AJ70" s="20"/>
      <c r="AK70" s="20"/>
      <c r="AL70" s="20"/>
      <c r="AM70" s="20"/>
      <c r="AN70" s="20"/>
      <c r="AO70" s="20"/>
    </row>
    <row r="71" s="17" customFormat="1" customHeight="1" spans="1:41">
      <c r="A71" s="20">
        <v>106569</v>
      </c>
      <c r="B71" s="20" t="s">
        <v>353</v>
      </c>
      <c r="C71" s="23" t="s">
        <v>138</v>
      </c>
      <c r="D71" s="23" t="s">
        <v>147</v>
      </c>
      <c r="E71" s="23" t="s">
        <v>23</v>
      </c>
      <c r="F71" s="23" t="s">
        <v>24</v>
      </c>
      <c r="G71" s="23" t="s">
        <v>354</v>
      </c>
      <c r="H71" s="23" t="s">
        <v>131</v>
      </c>
      <c r="I71" s="26" t="s">
        <v>206</v>
      </c>
      <c r="J71" s="23" t="s">
        <v>355</v>
      </c>
      <c r="K71" s="23" t="s">
        <v>356</v>
      </c>
      <c r="L71" s="23" t="s">
        <v>357</v>
      </c>
      <c r="M71" s="25" t="s">
        <v>31</v>
      </c>
      <c r="N71" s="23" t="s">
        <v>32</v>
      </c>
      <c r="O71" s="23" t="s">
        <v>197</v>
      </c>
      <c r="P71" s="23" t="s">
        <v>34</v>
      </c>
      <c r="Q71" s="27" t="str">
        <f>HYPERLINK("https://ovopark.oss-cn-hangzhou.aliyuncs.com/2022/07/03/image_1656848415642.jpg","查看图片")</f>
        <v>查看图片</v>
      </c>
      <c r="R71" s="23" t="s">
        <v>35</v>
      </c>
      <c r="S71" s="23" t="s">
        <v>358</v>
      </c>
      <c r="T71" s="23" t="s">
        <v>37</v>
      </c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1"/>
      <c r="AI71" s="20"/>
      <c r="AJ71" s="20"/>
      <c r="AK71" s="20"/>
      <c r="AL71" s="20"/>
      <c r="AM71" s="20"/>
      <c r="AN71" s="20"/>
      <c r="AO71" s="20"/>
    </row>
    <row r="72" s="17" customFormat="1" customHeight="1" spans="1:41">
      <c r="A72" s="20">
        <v>106569</v>
      </c>
      <c r="B72" s="20" t="s">
        <v>353</v>
      </c>
      <c r="C72" s="23" t="s">
        <v>138</v>
      </c>
      <c r="D72" s="23" t="s">
        <v>152</v>
      </c>
      <c r="E72" s="23" t="s">
        <v>23</v>
      </c>
      <c r="F72" s="23" t="s">
        <v>24</v>
      </c>
      <c r="G72" s="23" t="s">
        <v>354</v>
      </c>
      <c r="H72" s="23" t="s">
        <v>131</v>
      </c>
      <c r="I72" s="26" t="s">
        <v>206</v>
      </c>
      <c r="J72" s="23" t="s">
        <v>359</v>
      </c>
      <c r="K72" s="23" t="s">
        <v>360</v>
      </c>
      <c r="L72" s="23" t="s">
        <v>357</v>
      </c>
      <c r="M72" s="25" t="s">
        <v>31</v>
      </c>
      <c r="N72" s="23" t="s">
        <v>32</v>
      </c>
      <c r="O72" s="23" t="s">
        <v>197</v>
      </c>
      <c r="P72" s="23" t="s">
        <v>34</v>
      </c>
      <c r="Q72" s="27" t="str">
        <f>HYPERLINK("https://ovopark.oss-cn-hangzhou.aliyuncs.com/2022/07/03/image_1656848428263.jpg","查看图片")</f>
        <v>查看图片</v>
      </c>
      <c r="R72" s="23" t="s">
        <v>35</v>
      </c>
      <c r="S72" s="23" t="s">
        <v>361</v>
      </c>
      <c r="T72" s="23" t="s">
        <v>37</v>
      </c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1"/>
      <c r="AI72" s="20"/>
      <c r="AJ72" s="20"/>
      <c r="AK72" s="20"/>
      <c r="AL72" s="20"/>
      <c r="AM72" s="20"/>
      <c r="AN72" s="20"/>
      <c r="AO72" s="20"/>
    </row>
    <row r="73" s="17" customFormat="1" customHeight="1" spans="1:41">
      <c r="A73" s="20">
        <v>102565</v>
      </c>
      <c r="B73" s="20" t="s">
        <v>362</v>
      </c>
      <c r="C73" s="23" t="s">
        <v>138</v>
      </c>
      <c r="D73" s="23" t="s">
        <v>147</v>
      </c>
      <c r="E73" s="23" t="s">
        <v>23</v>
      </c>
      <c r="F73" s="23" t="s">
        <v>24</v>
      </c>
      <c r="G73" s="23" t="s">
        <v>363</v>
      </c>
      <c r="H73" s="23" t="s">
        <v>131</v>
      </c>
      <c r="I73" s="26" t="s">
        <v>206</v>
      </c>
      <c r="J73" s="23" t="s">
        <v>364</v>
      </c>
      <c r="K73" s="23" t="s">
        <v>365</v>
      </c>
      <c r="L73" s="23" t="s">
        <v>357</v>
      </c>
      <c r="M73" s="25" t="s">
        <v>31</v>
      </c>
      <c r="N73" s="23" t="s">
        <v>32</v>
      </c>
      <c r="O73" s="23" t="s">
        <v>197</v>
      </c>
      <c r="P73" s="23" t="s">
        <v>34</v>
      </c>
      <c r="Q73" s="27" t="str">
        <f>HYPERLINK("https://ovopark.oss-cn-hangzhou.aliyuncs.com/2022/07/03/image_1656855705463.jpg","查看图片")</f>
        <v>查看图片</v>
      </c>
      <c r="R73" s="23" t="s">
        <v>35</v>
      </c>
      <c r="S73" s="23" t="s">
        <v>366</v>
      </c>
      <c r="T73" s="23" t="s">
        <v>37</v>
      </c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1"/>
      <c r="AI73" s="20"/>
      <c r="AJ73" s="20"/>
      <c r="AK73" s="20"/>
      <c r="AL73" s="20"/>
      <c r="AM73" s="20"/>
      <c r="AN73" s="20"/>
      <c r="AO73" s="20"/>
    </row>
    <row r="74" s="17" customFormat="1" customHeight="1" spans="1:41">
      <c r="A74" s="20">
        <v>102565</v>
      </c>
      <c r="B74" s="20" t="s">
        <v>362</v>
      </c>
      <c r="C74" s="23" t="s">
        <v>138</v>
      </c>
      <c r="D74" s="23" t="s">
        <v>152</v>
      </c>
      <c r="E74" s="23" t="s">
        <v>23</v>
      </c>
      <c r="F74" s="23" t="s">
        <v>24</v>
      </c>
      <c r="G74" s="23" t="s">
        <v>363</v>
      </c>
      <c r="H74" s="23" t="s">
        <v>131</v>
      </c>
      <c r="I74" s="26" t="s">
        <v>206</v>
      </c>
      <c r="J74" s="23" t="s">
        <v>367</v>
      </c>
      <c r="K74" s="23" t="s">
        <v>368</v>
      </c>
      <c r="L74" s="23" t="s">
        <v>357</v>
      </c>
      <c r="M74" s="25" t="s">
        <v>31</v>
      </c>
      <c r="N74" s="23" t="s">
        <v>32</v>
      </c>
      <c r="O74" s="23" t="s">
        <v>197</v>
      </c>
      <c r="P74" s="23" t="s">
        <v>34</v>
      </c>
      <c r="Q74" s="27" t="str">
        <f>HYPERLINK("https://ovopark.oss-cn-hangzhou.aliyuncs.com/2022/07/03/image_1656855731860.jpg","查看图片")</f>
        <v>查看图片</v>
      </c>
      <c r="R74" s="23" t="s">
        <v>35</v>
      </c>
      <c r="S74" s="23" t="s">
        <v>369</v>
      </c>
      <c r="T74" s="23" t="s">
        <v>37</v>
      </c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1"/>
      <c r="AI74" s="20"/>
      <c r="AJ74" s="20"/>
      <c r="AK74" s="20"/>
      <c r="AL74" s="20"/>
      <c r="AM74" s="20"/>
      <c r="AN74" s="20"/>
      <c r="AO74" s="20"/>
    </row>
    <row r="75" s="17" customFormat="1" hidden="1" customHeight="1" spans="3:20">
      <c r="C75" s="23" t="s">
        <v>138</v>
      </c>
      <c r="D75" s="23" t="s">
        <v>139</v>
      </c>
      <c r="E75" s="23" t="s">
        <v>23</v>
      </c>
      <c r="F75" s="23" t="s">
        <v>24</v>
      </c>
      <c r="G75" s="23" t="s">
        <v>370</v>
      </c>
      <c r="H75" s="23" t="s">
        <v>170</v>
      </c>
      <c r="I75" s="26" t="s">
        <v>193</v>
      </c>
      <c r="J75" s="23" t="s">
        <v>371</v>
      </c>
      <c r="K75" s="23" t="s">
        <v>372</v>
      </c>
      <c r="L75" s="23" t="s">
        <v>357</v>
      </c>
      <c r="M75" s="23" t="s">
        <v>58</v>
      </c>
      <c r="N75" s="23" t="s">
        <v>32</v>
      </c>
      <c r="O75" s="23" t="s">
        <v>197</v>
      </c>
      <c r="P75" s="23" t="s">
        <v>34</v>
      </c>
      <c r="Q75" s="27" t="str">
        <f>HYPERLINK("https://ovopark.oss-cn-hangzhou.aliyuncs.com/2022/07/03/image_1656855844975.jpg","查看图片")</f>
        <v>查看图片</v>
      </c>
      <c r="R75" s="23" t="s">
        <v>35</v>
      </c>
      <c r="S75" s="23" t="s">
        <v>373</v>
      </c>
      <c r="T75" s="23" t="s">
        <v>37</v>
      </c>
    </row>
    <row r="76" s="17" customFormat="1" hidden="1" customHeight="1" spans="3:20">
      <c r="C76" s="23" t="s">
        <v>138</v>
      </c>
      <c r="D76" s="23" t="s">
        <v>161</v>
      </c>
      <c r="E76" s="23" t="s">
        <v>23</v>
      </c>
      <c r="F76" s="23" t="s">
        <v>24</v>
      </c>
      <c r="G76" s="23" t="s">
        <v>370</v>
      </c>
      <c r="H76" s="23" t="s">
        <v>170</v>
      </c>
      <c r="I76" s="26" t="s">
        <v>193</v>
      </c>
      <c r="J76" s="23" t="s">
        <v>374</v>
      </c>
      <c r="K76" s="23" t="s">
        <v>375</v>
      </c>
      <c r="L76" s="23" t="s">
        <v>357</v>
      </c>
      <c r="M76" s="23" t="s">
        <v>58</v>
      </c>
      <c r="N76" s="23" t="s">
        <v>32</v>
      </c>
      <c r="O76" s="23" t="s">
        <v>197</v>
      </c>
      <c r="P76" s="23" t="s">
        <v>34</v>
      </c>
      <c r="Q76" s="27" t="str">
        <f>HYPERLINK("https://ovopark.oss-cn-hangzhou.aliyuncs.com/2022/07/03/image_1656855827699.jpg","查看图片")</f>
        <v>查看图片</v>
      </c>
      <c r="R76" s="23" t="s">
        <v>35</v>
      </c>
      <c r="S76" s="23" t="s">
        <v>376</v>
      </c>
      <c r="T76" s="23" t="s">
        <v>37</v>
      </c>
    </row>
    <row r="77" s="17" customFormat="1" hidden="1" customHeight="1" spans="3:20">
      <c r="C77" s="23" t="s">
        <v>138</v>
      </c>
      <c r="D77" s="23" t="s">
        <v>156</v>
      </c>
      <c r="E77" s="23" t="s">
        <v>23</v>
      </c>
      <c r="F77" s="23" t="s">
        <v>24</v>
      </c>
      <c r="G77" s="23" t="s">
        <v>370</v>
      </c>
      <c r="H77" s="23" t="s">
        <v>170</v>
      </c>
      <c r="I77" s="26" t="s">
        <v>193</v>
      </c>
      <c r="J77" s="23" t="s">
        <v>377</v>
      </c>
      <c r="K77" s="23" t="s">
        <v>378</v>
      </c>
      <c r="L77" s="23" t="s">
        <v>357</v>
      </c>
      <c r="M77" s="23" t="s">
        <v>58</v>
      </c>
      <c r="N77" s="23" t="s">
        <v>32</v>
      </c>
      <c r="O77" s="23" t="s">
        <v>197</v>
      </c>
      <c r="P77" s="23" t="s">
        <v>34</v>
      </c>
      <c r="Q77" s="27" t="str">
        <f>HYPERLINK("https://ovopark.oss-cn-hangzhou.aliyuncs.com/2022/07/03/image_1656855809656.jpg","查看图片")</f>
        <v>查看图片</v>
      </c>
      <c r="R77" s="23" t="s">
        <v>35</v>
      </c>
      <c r="S77" s="23" t="s">
        <v>379</v>
      </c>
      <c r="T77" s="23" t="s">
        <v>37</v>
      </c>
    </row>
    <row r="78" s="17" customFormat="1" hidden="1" customHeight="1" spans="3:20">
      <c r="C78" s="23" t="s">
        <v>138</v>
      </c>
      <c r="D78" s="23" t="s">
        <v>139</v>
      </c>
      <c r="E78" s="23" t="s">
        <v>23</v>
      </c>
      <c r="F78" s="23" t="s">
        <v>24</v>
      </c>
      <c r="G78" s="23" t="s">
        <v>380</v>
      </c>
      <c r="H78" s="23" t="s">
        <v>170</v>
      </c>
      <c r="I78" s="26" t="s">
        <v>193</v>
      </c>
      <c r="J78" s="23" t="s">
        <v>381</v>
      </c>
      <c r="K78" s="23" t="s">
        <v>382</v>
      </c>
      <c r="L78" s="23" t="s">
        <v>357</v>
      </c>
      <c r="M78" s="23" t="s">
        <v>58</v>
      </c>
      <c r="N78" s="23" t="s">
        <v>32</v>
      </c>
      <c r="O78" s="23" t="s">
        <v>197</v>
      </c>
      <c r="P78" s="23" t="s">
        <v>34</v>
      </c>
      <c r="Q78" s="27" t="str">
        <f>HYPERLINK("https://ovopark.oss-cn-hangzhou.aliyuncs.com/2022/07/03/image_1656848475444.jpg","查看图片")</f>
        <v>查看图片</v>
      </c>
      <c r="R78" s="23" t="s">
        <v>35</v>
      </c>
      <c r="S78" s="23" t="s">
        <v>383</v>
      </c>
      <c r="T78" s="23" t="s">
        <v>37</v>
      </c>
    </row>
    <row r="79" s="17" customFormat="1" hidden="1" customHeight="1" spans="3:20">
      <c r="C79" s="23" t="s">
        <v>138</v>
      </c>
      <c r="D79" s="23" t="s">
        <v>161</v>
      </c>
      <c r="E79" s="23" t="s">
        <v>23</v>
      </c>
      <c r="F79" s="23" t="s">
        <v>24</v>
      </c>
      <c r="G79" s="23" t="s">
        <v>380</v>
      </c>
      <c r="H79" s="23" t="s">
        <v>170</v>
      </c>
      <c r="I79" s="26" t="s">
        <v>193</v>
      </c>
      <c r="J79" s="23" t="s">
        <v>384</v>
      </c>
      <c r="K79" s="23" t="s">
        <v>385</v>
      </c>
      <c r="L79" s="23" t="s">
        <v>357</v>
      </c>
      <c r="M79" s="23" t="s">
        <v>58</v>
      </c>
      <c r="N79" s="23" t="s">
        <v>32</v>
      </c>
      <c r="O79" s="23" t="s">
        <v>197</v>
      </c>
      <c r="P79" s="23" t="s">
        <v>34</v>
      </c>
      <c r="Q79" s="27" t="str">
        <f>HYPERLINK("https://ovopark.oss-cn-hangzhou.aliyuncs.com/2022/07/03/image_1656848461651.jpg","查看图片")</f>
        <v>查看图片</v>
      </c>
      <c r="R79" s="23" t="s">
        <v>35</v>
      </c>
      <c r="S79" s="23" t="s">
        <v>386</v>
      </c>
      <c r="T79" s="23" t="s">
        <v>37</v>
      </c>
    </row>
    <row r="80" s="17" customFormat="1" hidden="1" customHeight="1" spans="3:20">
      <c r="C80" s="23" t="s">
        <v>138</v>
      </c>
      <c r="D80" s="23" t="s">
        <v>156</v>
      </c>
      <c r="E80" s="23" t="s">
        <v>23</v>
      </c>
      <c r="F80" s="23" t="s">
        <v>24</v>
      </c>
      <c r="G80" s="23" t="s">
        <v>380</v>
      </c>
      <c r="H80" s="23" t="s">
        <v>170</v>
      </c>
      <c r="I80" s="26" t="s">
        <v>193</v>
      </c>
      <c r="J80" s="23" t="s">
        <v>387</v>
      </c>
      <c r="K80" s="23" t="s">
        <v>388</v>
      </c>
      <c r="L80" s="23" t="s">
        <v>357</v>
      </c>
      <c r="M80" s="23" t="s">
        <v>58</v>
      </c>
      <c r="N80" s="23" t="s">
        <v>32</v>
      </c>
      <c r="O80" s="23" t="s">
        <v>197</v>
      </c>
      <c r="P80" s="23" t="s">
        <v>34</v>
      </c>
      <c r="Q80" s="27" t="str">
        <f>HYPERLINK("https://ovopark.oss-cn-hangzhou.aliyuncs.com/2022/07/03/image_1656848451515.jpg","查看图片")</f>
        <v>查看图片</v>
      </c>
      <c r="R80" s="23" t="s">
        <v>35</v>
      </c>
      <c r="S80" s="23" t="s">
        <v>389</v>
      </c>
      <c r="T80" s="23" t="s">
        <v>37</v>
      </c>
    </row>
    <row r="81" s="17" customFormat="1" hidden="1" customHeight="1" spans="3:20">
      <c r="C81" s="23" t="s">
        <v>138</v>
      </c>
      <c r="D81" s="23" t="s">
        <v>139</v>
      </c>
      <c r="E81" s="23" t="s">
        <v>23</v>
      </c>
      <c r="F81" s="23" t="s">
        <v>24</v>
      </c>
      <c r="G81" s="23" t="s">
        <v>390</v>
      </c>
      <c r="H81" s="23" t="s">
        <v>170</v>
      </c>
      <c r="I81" s="26" t="s">
        <v>193</v>
      </c>
      <c r="J81" s="23" t="s">
        <v>391</v>
      </c>
      <c r="K81" s="23" t="s">
        <v>392</v>
      </c>
      <c r="L81" s="23" t="s">
        <v>327</v>
      </c>
      <c r="M81" s="23" t="s">
        <v>58</v>
      </c>
      <c r="N81" s="23" t="s">
        <v>32</v>
      </c>
      <c r="O81" s="23" t="s">
        <v>197</v>
      </c>
      <c r="P81" s="23" t="s">
        <v>34</v>
      </c>
      <c r="Q81" s="27" t="str">
        <f>HYPERLINK("https://ovopark.oss-cn-hangzhou.aliyuncs.com/2022/07/03/image_1656833874904.jpg","查看图片")</f>
        <v>查看图片</v>
      </c>
      <c r="R81" s="23" t="s">
        <v>35</v>
      </c>
      <c r="S81" s="23" t="s">
        <v>393</v>
      </c>
      <c r="T81" s="23" t="s">
        <v>37</v>
      </c>
    </row>
    <row r="82" s="17" customFormat="1" hidden="1" customHeight="1" spans="3:20">
      <c r="C82" s="23" t="s">
        <v>138</v>
      </c>
      <c r="D82" s="23" t="s">
        <v>161</v>
      </c>
      <c r="E82" s="23" t="s">
        <v>23</v>
      </c>
      <c r="F82" s="23" t="s">
        <v>24</v>
      </c>
      <c r="G82" s="23" t="s">
        <v>390</v>
      </c>
      <c r="H82" s="23" t="s">
        <v>170</v>
      </c>
      <c r="I82" s="26" t="s">
        <v>193</v>
      </c>
      <c r="J82" s="23" t="s">
        <v>394</v>
      </c>
      <c r="K82" s="23" t="s">
        <v>395</v>
      </c>
      <c r="L82" s="23" t="s">
        <v>327</v>
      </c>
      <c r="M82" s="23" t="s">
        <v>58</v>
      </c>
      <c r="N82" s="23" t="s">
        <v>32</v>
      </c>
      <c r="O82" s="23" t="s">
        <v>197</v>
      </c>
      <c r="P82" s="23" t="s">
        <v>34</v>
      </c>
      <c r="Q82" s="27" t="str">
        <f>HYPERLINK("https://ovopark.oss-cn-hangzhou.aliyuncs.com/2022/07/03/image_1656833829836.jpg","查看图片")</f>
        <v>查看图片</v>
      </c>
      <c r="R82" s="23" t="s">
        <v>35</v>
      </c>
      <c r="S82" s="23" t="s">
        <v>396</v>
      </c>
      <c r="T82" s="23" t="s">
        <v>37</v>
      </c>
    </row>
    <row r="83" s="17" customFormat="1" customHeight="1" spans="1:41">
      <c r="A83" s="20">
        <v>727</v>
      </c>
      <c r="B83" s="20" t="s">
        <v>397</v>
      </c>
      <c r="C83" s="23" t="s">
        <v>138</v>
      </c>
      <c r="D83" s="23" t="s">
        <v>156</v>
      </c>
      <c r="E83" s="23" t="s">
        <v>23</v>
      </c>
      <c r="F83" s="23" t="s">
        <v>24</v>
      </c>
      <c r="G83" s="23" t="s">
        <v>398</v>
      </c>
      <c r="H83" s="23" t="s">
        <v>170</v>
      </c>
      <c r="I83" s="26" t="s">
        <v>193</v>
      </c>
      <c r="J83" s="23" t="s">
        <v>399</v>
      </c>
      <c r="K83" s="23" t="s">
        <v>400</v>
      </c>
      <c r="L83" s="23" t="s">
        <v>401</v>
      </c>
      <c r="M83" s="25" t="s">
        <v>31</v>
      </c>
      <c r="N83" s="23" t="s">
        <v>32</v>
      </c>
      <c r="O83" s="23" t="s">
        <v>197</v>
      </c>
      <c r="P83" s="23" t="s">
        <v>34</v>
      </c>
      <c r="Q83" s="27" t="str">
        <f>HYPERLINK("http://ovopark.oss-cn-hangzhou.aliyuncs.com/62_1656893217062_2202_273461792634529_.jpg","查看图片")</f>
        <v>查看图片</v>
      </c>
      <c r="R83" s="23" t="s">
        <v>35</v>
      </c>
      <c r="S83" s="23" t="s">
        <v>402</v>
      </c>
      <c r="T83" s="23" t="s">
        <v>37</v>
      </c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1"/>
      <c r="AI83" s="20"/>
      <c r="AJ83" s="20"/>
      <c r="AK83" s="20"/>
      <c r="AL83" s="20"/>
      <c r="AM83" s="20"/>
      <c r="AN83" s="20"/>
      <c r="AO83" s="20"/>
    </row>
    <row r="84" s="17" customFormat="1" customHeight="1" spans="1:41">
      <c r="A84" s="20">
        <v>727</v>
      </c>
      <c r="B84" s="20" t="s">
        <v>397</v>
      </c>
      <c r="C84" s="23" t="s">
        <v>138</v>
      </c>
      <c r="D84" s="23" t="s">
        <v>161</v>
      </c>
      <c r="E84" s="23" t="s">
        <v>23</v>
      </c>
      <c r="F84" s="23" t="s">
        <v>24</v>
      </c>
      <c r="G84" s="23" t="s">
        <v>398</v>
      </c>
      <c r="H84" s="23" t="s">
        <v>170</v>
      </c>
      <c r="I84" s="26" t="s">
        <v>193</v>
      </c>
      <c r="J84" s="23" t="s">
        <v>403</v>
      </c>
      <c r="K84" s="23" t="s">
        <v>404</v>
      </c>
      <c r="L84" s="23" t="s">
        <v>401</v>
      </c>
      <c r="M84" s="25" t="s">
        <v>31</v>
      </c>
      <c r="N84" s="23" t="s">
        <v>32</v>
      </c>
      <c r="O84" s="23" t="s">
        <v>197</v>
      </c>
      <c r="P84" s="23" t="s">
        <v>34</v>
      </c>
      <c r="Q84" s="27" t="str">
        <f>HYPERLINK("http://ovopark.oss-cn-hangzhou.aliyuncs.com/62_1656893239445_2202_273484169199146_.jpg","查看图片")</f>
        <v>查看图片</v>
      </c>
      <c r="R84" s="23" t="s">
        <v>35</v>
      </c>
      <c r="S84" s="23" t="s">
        <v>405</v>
      </c>
      <c r="T84" s="23" t="s">
        <v>37</v>
      </c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1"/>
      <c r="AI84" s="20"/>
      <c r="AJ84" s="20"/>
      <c r="AK84" s="20"/>
      <c r="AL84" s="20"/>
      <c r="AM84" s="20"/>
      <c r="AN84" s="20"/>
      <c r="AO84" s="20"/>
    </row>
    <row r="85" s="17" customFormat="1" customHeight="1" spans="1:41">
      <c r="A85" s="20">
        <v>727</v>
      </c>
      <c r="B85" s="20" t="s">
        <v>397</v>
      </c>
      <c r="C85" s="23" t="s">
        <v>138</v>
      </c>
      <c r="D85" s="23" t="s">
        <v>139</v>
      </c>
      <c r="E85" s="23" t="s">
        <v>23</v>
      </c>
      <c r="F85" s="23" t="s">
        <v>24</v>
      </c>
      <c r="G85" s="23" t="s">
        <v>398</v>
      </c>
      <c r="H85" s="23" t="s">
        <v>170</v>
      </c>
      <c r="I85" s="26" t="s">
        <v>193</v>
      </c>
      <c r="J85" s="23" t="s">
        <v>406</v>
      </c>
      <c r="K85" s="23" t="s">
        <v>407</v>
      </c>
      <c r="L85" s="23" t="s">
        <v>401</v>
      </c>
      <c r="M85" s="25" t="s">
        <v>31</v>
      </c>
      <c r="N85" s="23" t="s">
        <v>32</v>
      </c>
      <c r="O85" s="23" t="s">
        <v>197</v>
      </c>
      <c r="P85" s="23" t="s">
        <v>34</v>
      </c>
      <c r="Q85" s="27" t="str">
        <f>HYPERLINK("http://ovopark.oss-cn-hangzhou.aliyuncs.com/62_1656893265766_2202_273510475877917_.jpg","查看图片")</f>
        <v>查看图片</v>
      </c>
      <c r="R85" s="23" t="s">
        <v>35</v>
      </c>
      <c r="S85" s="23" t="s">
        <v>408</v>
      </c>
      <c r="T85" s="23" t="s">
        <v>37</v>
      </c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1"/>
      <c r="AI85" s="20"/>
      <c r="AJ85" s="20"/>
      <c r="AK85" s="20"/>
      <c r="AL85" s="20"/>
      <c r="AM85" s="20"/>
      <c r="AN85" s="20"/>
      <c r="AO85" s="20"/>
    </row>
    <row r="86" s="17" customFormat="1" customHeight="1" spans="1:41">
      <c r="A86" s="20">
        <v>727</v>
      </c>
      <c r="B86" s="20" t="s">
        <v>397</v>
      </c>
      <c r="C86" s="23" t="s">
        <v>138</v>
      </c>
      <c r="D86" s="23" t="s">
        <v>147</v>
      </c>
      <c r="E86" s="23" t="s">
        <v>23</v>
      </c>
      <c r="F86" s="23" t="s">
        <v>24</v>
      </c>
      <c r="G86" s="23" t="s">
        <v>409</v>
      </c>
      <c r="H86" s="23" t="s">
        <v>131</v>
      </c>
      <c r="I86" s="26" t="s">
        <v>206</v>
      </c>
      <c r="J86" s="23" t="s">
        <v>410</v>
      </c>
      <c r="K86" s="23" t="s">
        <v>411</v>
      </c>
      <c r="L86" s="23" t="s">
        <v>401</v>
      </c>
      <c r="M86" s="25" t="s">
        <v>31</v>
      </c>
      <c r="N86" s="23" t="s">
        <v>32</v>
      </c>
      <c r="O86" s="23" t="s">
        <v>197</v>
      </c>
      <c r="P86" s="23" t="s">
        <v>34</v>
      </c>
      <c r="Q86" s="27" t="str">
        <f>HYPERLINK("http://ovopark.oss-cn-hangzhou.aliyuncs.com/62_1656893294071_2202_273538785900303_.jpg","查看图片")</f>
        <v>查看图片</v>
      </c>
      <c r="R86" s="23" t="s">
        <v>35</v>
      </c>
      <c r="S86" s="23" t="s">
        <v>412</v>
      </c>
      <c r="T86" s="23" t="s">
        <v>37</v>
      </c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1"/>
      <c r="AI86" s="20"/>
      <c r="AJ86" s="20"/>
      <c r="AK86" s="20"/>
      <c r="AL86" s="20"/>
      <c r="AM86" s="20"/>
      <c r="AN86" s="20"/>
      <c r="AO86" s="20"/>
    </row>
    <row r="87" s="17" customFormat="1" customHeight="1" spans="1:41">
      <c r="A87" s="20">
        <v>727</v>
      </c>
      <c r="B87" s="20" t="s">
        <v>397</v>
      </c>
      <c r="C87" s="23" t="s">
        <v>138</v>
      </c>
      <c r="D87" s="23" t="s">
        <v>152</v>
      </c>
      <c r="E87" s="23" t="s">
        <v>23</v>
      </c>
      <c r="F87" s="23" t="s">
        <v>24</v>
      </c>
      <c r="G87" s="23" t="s">
        <v>409</v>
      </c>
      <c r="H87" s="23" t="s">
        <v>131</v>
      </c>
      <c r="I87" s="26" t="s">
        <v>206</v>
      </c>
      <c r="J87" s="23" t="s">
        <v>413</v>
      </c>
      <c r="K87" s="23" t="s">
        <v>414</v>
      </c>
      <c r="L87" s="23" t="s">
        <v>401</v>
      </c>
      <c r="M87" s="25" t="s">
        <v>31</v>
      </c>
      <c r="N87" s="23" t="s">
        <v>32</v>
      </c>
      <c r="O87" s="23" t="s">
        <v>197</v>
      </c>
      <c r="P87" s="23" t="s">
        <v>34</v>
      </c>
      <c r="Q87" s="27" t="str">
        <f>HYPERLINK("http://ovopark.oss-cn-hangzhou.aliyuncs.com/62_1656893418255_2202_273662960886157_.jpg","查看图片")</f>
        <v>查看图片</v>
      </c>
      <c r="R87" s="23" t="s">
        <v>35</v>
      </c>
      <c r="S87" s="23" t="s">
        <v>415</v>
      </c>
      <c r="T87" s="23" t="s">
        <v>37</v>
      </c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1"/>
      <c r="AI87" s="20"/>
      <c r="AJ87" s="20"/>
      <c r="AK87" s="20"/>
      <c r="AL87" s="20"/>
      <c r="AM87" s="20"/>
      <c r="AN87" s="20"/>
      <c r="AO87" s="20"/>
    </row>
    <row r="88" s="17" customFormat="1" customHeight="1" spans="1:41">
      <c r="A88" s="20">
        <v>357</v>
      </c>
      <c r="B88" s="20" t="s">
        <v>416</v>
      </c>
      <c r="C88" s="23" t="s">
        <v>138</v>
      </c>
      <c r="D88" s="23" t="s">
        <v>147</v>
      </c>
      <c r="E88" s="23" t="s">
        <v>23</v>
      </c>
      <c r="F88" s="23" t="s">
        <v>24</v>
      </c>
      <c r="G88" s="23" t="s">
        <v>417</v>
      </c>
      <c r="H88" s="23" t="s">
        <v>131</v>
      </c>
      <c r="I88" s="26" t="s">
        <v>206</v>
      </c>
      <c r="J88" s="23" t="s">
        <v>418</v>
      </c>
      <c r="K88" s="23" t="s">
        <v>419</v>
      </c>
      <c r="L88" s="23" t="s">
        <v>420</v>
      </c>
      <c r="M88" s="25" t="s">
        <v>31</v>
      </c>
      <c r="N88" s="23" t="s">
        <v>32</v>
      </c>
      <c r="O88" s="23" t="s">
        <v>197</v>
      </c>
      <c r="P88" s="23" t="s">
        <v>34</v>
      </c>
      <c r="Q88" s="27" t="str">
        <f>HYPERLINK("http://ovopark.oss-cn-hangzhou.aliyuncs.com/2125_9350232898572_image_1656744447034.jpg","查看图片")</f>
        <v>查看图片</v>
      </c>
      <c r="R88" s="23" t="s">
        <v>35</v>
      </c>
      <c r="S88" s="23" t="s">
        <v>421</v>
      </c>
      <c r="T88" s="23" t="s">
        <v>37</v>
      </c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1"/>
      <c r="AI88" s="20"/>
      <c r="AJ88" s="20"/>
      <c r="AK88" s="20"/>
      <c r="AL88" s="20"/>
      <c r="AM88" s="20"/>
      <c r="AN88" s="20"/>
      <c r="AO88" s="20"/>
    </row>
    <row r="89" s="17" customFormat="1" customHeight="1" spans="1:41">
      <c r="A89" s="20">
        <v>357</v>
      </c>
      <c r="B89" s="20" t="s">
        <v>416</v>
      </c>
      <c r="C89" s="23" t="s">
        <v>138</v>
      </c>
      <c r="D89" s="23" t="s">
        <v>152</v>
      </c>
      <c r="E89" s="23" t="s">
        <v>23</v>
      </c>
      <c r="F89" s="23" t="s">
        <v>24</v>
      </c>
      <c r="G89" s="23" t="s">
        <v>417</v>
      </c>
      <c r="H89" s="23" t="s">
        <v>131</v>
      </c>
      <c r="I89" s="26" t="s">
        <v>206</v>
      </c>
      <c r="J89" s="23" t="s">
        <v>422</v>
      </c>
      <c r="K89" s="23" t="s">
        <v>423</v>
      </c>
      <c r="L89" s="23" t="s">
        <v>420</v>
      </c>
      <c r="M89" s="25" t="s">
        <v>31</v>
      </c>
      <c r="N89" s="23" t="s">
        <v>32</v>
      </c>
      <c r="O89" s="23" t="s">
        <v>197</v>
      </c>
      <c r="P89" s="23" t="s">
        <v>34</v>
      </c>
      <c r="Q89" s="27" t="str">
        <f>HYPERLINK("http://ovopark.oss-cn-hangzhou.aliyuncs.com/2125_9394437949087_image_1656744491194.jpg","查看图片")</f>
        <v>查看图片</v>
      </c>
      <c r="R89" s="23" t="s">
        <v>35</v>
      </c>
      <c r="S89" s="23" t="s">
        <v>424</v>
      </c>
      <c r="T89" s="23" t="s">
        <v>37</v>
      </c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1"/>
      <c r="AI89" s="20"/>
      <c r="AJ89" s="20"/>
      <c r="AK89" s="20"/>
      <c r="AL89" s="20"/>
      <c r="AM89" s="20"/>
      <c r="AN89" s="20"/>
      <c r="AO89" s="20"/>
    </row>
    <row r="90" s="17" customFormat="1" customHeight="1" spans="1:41">
      <c r="A90" s="20">
        <v>117491</v>
      </c>
      <c r="B90" s="20" t="s">
        <v>425</v>
      </c>
      <c r="C90" s="23" t="s">
        <v>138</v>
      </c>
      <c r="D90" s="23" t="s">
        <v>168</v>
      </c>
      <c r="E90" s="23" t="s">
        <v>23</v>
      </c>
      <c r="F90" s="23" t="s">
        <v>24</v>
      </c>
      <c r="G90" s="23" t="s">
        <v>426</v>
      </c>
      <c r="H90" s="23" t="s">
        <v>131</v>
      </c>
      <c r="I90" s="26" t="s">
        <v>206</v>
      </c>
      <c r="J90" s="23" t="s">
        <v>427</v>
      </c>
      <c r="K90" s="23" t="s">
        <v>428</v>
      </c>
      <c r="L90" s="23" t="s">
        <v>429</v>
      </c>
      <c r="M90" s="25" t="s">
        <v>31</v>
      </c>
      <c r="N90" s="23" t="s">
        <v>32</v>
      </c>
      <c r="O90" s="23" t="s">
        <v>197</v>
      </c>
      <c r="P90" s="23" t="s">
        <v>34</v>
      </c>
      <c r="Q90" s="27" t="str">
        <f>HYPERLINK("http://ovopark.oss-cn-hangzhou.aliyuncs.com/62_1656756150664_5695_1121416585425759_.jpg","查看图片")</f>
        <v>查看图片</v>
      </c>
      <c r="R90" s="23" t="s">
        <v>35</v>
      </c>
      <c r="S90" s="23" t="s">
        <v>430</v>
      </c>
      <c r="T90" s="23" t="s">
        <v>37</v>
      </c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1"/>
      <c r="AI90" s="20"/>
      <c r="AJ90" s="20"/>
      <c r="AK90" s="20"/>
      <c r="AL90" s="20"/>
      <c r="AM90" s="20"/>
      <c r="AN90" s="20"/>
      <c r="AO90" s="20"/>
    </row>
    <row r="91" s="17" customFormat="1" customHeight="1" spans="1:41">
      <c r="A91" s="20">
        <v>117491</v>
      </c>
      <c r="B91" s="20" t="s">
        <v>425</v>
      </c>
      <c r="C91" s="23" t="s">
        <v>138</v>
      </c>
      <c r="D91" s="23" t="s">
        <v>147</v>
      </c>
      <c r="E91" s="23" t="s">
        <v>23</v>
      </c>
      <c r="F91" s="23" t="s">
        <v>24</v>
      </c>
      <c r="G91" s="23" t="s">
        <v>431</v>
      </c>
      <c r="H91" s="23" t="s">
        <v>131</v>
      </c>
      <c r="I91" s="26" t="s">
        <v>206</v>
      </c>
      <c r="J91" s="23" t="s">
        <v>432</v>
      </c>
      <c r="K91" s="23" t="s">
        <v>433</v>
      </c>
      <c r="L91" s="23" t="s">
        <v>429</v>
      </c>
      <c r="M91" s="25" t="s">
        <v>31</v>
      </c>
      <c r="N91" s="23" t="s">
        <v>32</v>
      </c>
      <c r="O91" s="23" t="s">
        <v>197</v>
      </c>
      <c r="P91" s="23" t="s">
        <v>34</v>
      </c>
      <c r="Q91" s="27" t="str">
        <f>HYPERLINK("http://ovopark.oss-cn-hangzhou.aliyuncs.com/62_1656756167672_5695_1121433597002319_.jpg","查看图片")</f>
        <v>查看图片</v>
      </c>
      <c r="R91" s="23" t="s">
        <v>35</v>
      </c>
      <c r="S91" s="23" t="s">
        <v>434</v>
      </c>
      <c r="T91" s="23" t="s">
        <v>37</v>
      </c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1"/>
      <c r="AI91" s="20"/>
      <c r="AJ91" s="20"/>
      <c r="AK91" s="20"/>
      <c r="AL91" s="20"/>
      <c r="AM91" s="20"/>
      <c r="AN91" s="20"/>
      <c r="AO91" s="20"/>
    </row>
    <row r="92" s="17" customFormat="1" customHeight="1" spans="1:41">
      <c r="A92" s="20">
        <v>117491</v>
      </c>
      <c r="B92" s="20" t="s">
        <v>425</v>
      </c>
      <c r="C92" s="23" t="s">
        <v>138</v>
      </c>
      <c r="D92" s="23" t="s">
        <v>152</v>
      </c>
      <c r="E92" s="23" t="s">
        <v>23</v>
      </c>
      <c r="F92" s="23" t="s">
        <v>24</v>
      </c>
      <c r="G92" s="23" t="s">
        <v>431</v>
      </c>
      <c r="H92" s="23" t="s">
        <v>131</v>
      </c>
      <c r="I92" s="26" t="s">
        <v>206</v>
      </c>
      <c r="J92" s="23" t="s">
        <v>435</v>
      </c>
      <c r="K92" s="23" t="s">
        <v>436</v>
      </c>
      <c r="L92" s="23" t="s">
        <v>429</v>
      </c>
      <c r="M92" s="25" t="s">
        <v>31</v>
      </c>
      <c r="N92" s="23" t="s">
        <v>32</v>
      </c>
      <c r="O92" s="23" t="s">
        <v>197</v>
      </c>
      <c r="P92" s="23" t="s">
        <v>34</v>
      </c>
      <c r="Q92" s="27" t="str">
        <f>HYPERLINK("http://ovopark.oss-cn-hangzhou.aliyuncs.com/62_1656756178210_5695_1121444126464818_.jpg","查看图片")</f>
        <v>查看图片</v>
      </c>
      <c r="R92" s="23" t="s">
        <v>35</v>
      </c>
      <c r="S92" s="23" t="s">
        <v>437</v>
      </c>
      <c r="T92" s="23" t="s">
        <v>37</v>
      </c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1"/>
      <c r="AI92" s="20"/>
      <c r="AJ92" s="20"/>
      <c r="AK92" s="20"/>
      <c r="AL92" s="20"/>
      <c r="AM92" s="20"/>
      <c r="AN92" s="20"/>
      <c r="AO92" s="20"/>
    </row>
    <row r="93" s="17" customFormat="1" customHeight="1" spans="1:41">
      <c r="A93" s="20">
        <v>117491</v>
      </c>
      <c r="B93" s="20" t="s">
        <v>425</v>
      </c>
      <c r="C93" s="23" t="s">
        <v>21</v>
      </c>
      <c r="D93" s="23" t="s">
        <v>22</v>
      </c>
      <c r="E93" s="23" t="s">
        <v>23</v>
      </c>
      <c r="F93" s="23" t="s">
        <v>24</v>
      </c>
      <c r="G93" s="23" t="s">
        <v>438</v>
      </c>
      <c r="H93" s="23" t="s">
        <v>130</v>
      </c>
      <c r="I93" s="26" t="s">
        <v>131</v>
      </c>
      <c r="J93" s="23" t="s">
        <v>439</v>
      </c>
      <c r="K93" s="23" t="s">
        <v>440</v>
      </c>
      <c r="L93" s="23" t="s">
        <v>429</v>
      </c>
      <c r="M93" s="25" t="s">
        <v>31</v>
      </c>
      <c r="N93" s="23" t="s">
        <v>32</v>
      </c>
      <c r="O93" s="23" t="s">
        <v>197</v>
      </c>
      <c r="P93" s="23" t="s">
        <v>34</v>
      </c>
      <c r="Q93" s="27" t="str">
        <f>HYPERLINK("http://ovopark.oss-cn-hangzhou.aliyuncs.com/62_1656756209153_5695_1121475078727834_.jpg","查看图片")</f>
        <v>查看图片</v>
      </c>
      <c r="R93" s="23" t="s">
        <v>35</v>
      </c>
      <c r="S93" s="23" t="s">
        <v>441</v>
      </c>
      <c r="T93" s="23" t="s">
        <v>37</v>
      </c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1"/>
      <c r="AI93" s="20"/>
      <c r="AJ93" s="20"/>
      <c r="AK93" s="20"/>
      <c r="AL93" s="20"/>
      <c r="AM93" s="20"/>
      <c r="AN93" s="20"/>
      <c r="AO93" s="20"/>
    </row>
    <row r="94" s="17" customFormat="1" customHeight="1" spans="1:41">
      <c r="A94" s="20">
        <v>105267</v>
      </c>
      <c r="B94" s="20" t="s">
        <v>442</v>
      </c>
      <c r="C94" s="23" t="s">
        <v>138</v>
      </c>
      <c r="D94" s="23" t="s">
        <v>147</v>
      </c>
      <c r="E94" s="23" t="s">
        <v>23</v>
      </c>
      <c r="F94" s="23" t="s">
        <v>24</v>
      </c>
      <c r="G94" s="23" t="s">
        <v>443</v>
      </c>
      <c r="H94" s="23" t="s">
        <v>131</v>
      </c>
      <c r="I94" s="26" t="s">
        <v>206</v>
      </c>
      <c r="J94" s="23" t="s">
        <v>444</v>
      </c>
      <c r="K94" s="23" t="s">
        <v>445</v>
      </c>
      <c r="L94" s="23" t="s">
        <v>244</v>
      </c>
      <c r="M94" s="25" t="s">
        <v>31</v>
      </c>
      <c r="N94" s="23" t="s">
        <v>32</v>
      </c>
      <c r="O94" s="23" t="s">
        <v>197</v>
      </c>
      <c r="P94" s="23" t="s">
        <v>34</v>
      </c>
      <c r="Q94" s="27" t="str">
        <f>HYPERLINK("https://ovopark.oss-cn-hangzhou.aliyuncs.com/2022/07/02/image_1656764886567.jpg","查看图片")</f>
        <v>查看图片</v>
      </c>
      <c r="R94" s="23" t="s">
        <v>35</v>
      </c>
      <c r="S94" s="23" t="s">
        <v>446</v>
      </c>
      <c r="T94" s="23" t="s">
        <v>37</v>
      </c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1"/>
      <c r="AI94" s="20"/>
      <c r="AJ94" s="20"/>
      <c r="AK94" s="20"/>
      <c r="AL94" s="20"/>
      <c r="AM94" s="20"/>
      <c r="AN94" s="20"/>
      <c r="AO94" s="20"/>
    </row>
    <row r="95" s="17" customFormat="1" customHeight="1" spans="1:41">
      <c r="A95" s="20">
        <v>105267</v>
      </c>
      <c r="B95" s="20" t="s">
        <v>442</v>
      </c>
      <c r="C95" s="23" t="s">
        <v>138</v>
      </c>
      <c r="D95" s="23" t="s">
        <v>152</v>
      </c>
      <c r="E95" s="23" t="s">
        <v>23</v>
      </c>
      <c r="F95" s="23" t="s">
        <v>24</v>
      </c>
      <c r="G95" s="23" t="s">
        <v>443</v>
      </c>
      <c r="H95" s="23" t="s">
        <v>131</v>
      </c>
      <c r="I95" s="26" t="s">
        <v>206</v>
      </c>
      <c r="J95" s="23" t="s">
        <v>447</v>
      </c>
      <c r="K95" s="23" t="s">
        <v>448</v>
      </c>
      <c r="L95" s="23" t="s">
        <v>244</v>
      </c>
      <c r="M95" s="25" t="s">
        <v>31</v>
      </c>
      <c r="N95" s="23" t="s">
        <v>32</v>
      </c>
      <c r="O95" s="23" t="s">
        <v>197</v>
      </c>
      <c r="P95" s="23" t="s">
        <v>34</v>
      </c>
      <c r="Q95" s="27" t="str">
        <f>HYPERLINK("https://ovopark.oss-cn-hangzhou.aliyuncs.com/2022/07/02/image_1656764908478.jpg","查看图片")</f>
        <v>查看图片</v>
      </c>
      <c r="R95" s="23" t="s">
        <v>35</v>
      </c>
      <c r="S95" s="23" t="s">
        <v>449</v>
      </c>
      <c r="T95" s="23" t="s">
        <v>37</v>
      </c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1"/>
      <c r="AI95" s="20"/>
      <c r="AJ95" s="20"/>
      <c r="AK95" s="20"/>
      <c r="AL95" s="20"/>
      <c r="AM95" s="20"/>
      <c r="AN95" s="20"/>
      <c r="AO95" s="20"/>
    </row>
    <row r="96" s="17" customFormat="1" customHeight="1" spans="1:41">
      <c r="A96" s="20">
        <v>105267</v>
      </c>
      <c r="B96" s="20" t="s">
        <v>442</v>
      </c>
      <c r="C96" s="23" t="s">
        <v>21</v>
      </c>
      <c r="D96" s="23" t="s">
        <v>22</v>
      </c>
      <c r="E96" s="23" t="s">
        <v>23</v>
      </c>
      <c r="F96" s="23" t="s">
        <v>24</v>
      </c>
      <c r="G96" s="23" t="s">
        <v>450</v>
      </c>
      <c r="H96" s="23" t="s">
        <v>130</v>
      </c>
      <c r="I96" s="26" t="s">
        <v>131</v>
      </c>
      <c r="J96" s="23" t="s">
        <v>451</v>
      </c>
      <c r="K96" s="23" t="s">
        <v>452</v>
      </c>
      <c r="L96" s="23" t="s">
        <v>244</v>
      </c>
      <c r="M96" s="25" t="s">
        <v>31</v>
      </c>
      <c r="N96" s="23" t="s">
        <v>32</v>
      </c>
      <c r="O96" s="23" t="s">
        <v>197</v>
      </c>
      <c r="P96" s="23" t="s">
        <v>34</v>
      </c>
      <c r="Q96" s="27" t="str">
        <f>HYPERLINK("https://ovopark.oss-cn-hangzhou.aliyuncs.com/2022/07/02/image_1656764975482.jpg","查看图片")</f>
        <v>查看图片</v>
      </c>
      <c r="R96" s="23" t="s">
        <v>35</v>
      </c>
      <c r="S96" s="23" t="s">
        <v>453</v>
      </c>
      <c r="T96" s="23" t="s">
        <v>37</v>
      </c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1"/>
      <c r="AI96" s="20"/>
      <c r="AJ96" s="20"/>
      <c r="AK96" s="20"/>
      <c r="AL96" s="20"/>
      <c r="AM96" s="20"/>
      <c r="AN96" s="20"/>
      <c r="AO96" s="20"/>
    </row>
    <row r="97" s="17" customFormat="1" customHeight="1" spans="1:41">
      <c r="A97" s="20">
        <v>117310</v>
      </c>
      <c r="B97" s="20" t="s">
        <v>454</v>
      </c>
      <c r="C97" s="23" t="s">
        <v>138</v>
      </c>
      <c r="D97" s="23" t="s">
        <v>168</v>
      </c>
      <c r="E97" s="23" t="s">
        <v>23</v>
      </c>
      <c r="F97" s="23" t="s">
        <v>24</v>
      </c>
      <c r="G97" s="23" t="s">
        <v>455</v>
      </c>
      <c r="H97" s="23" t="s">
        <v>131</v>
      </c>
      <c r="I97" s="26" t="s">
        <v>206</v>
      </c>
      <c r="J97" s="23" t="s">
        <v>456</v>
      </c>
      <c r="K97" s="23" t="s">
        <v>457</v>
      </c>
      <c r="L97" s="23" t="s">
        <v>458</v>
      </c>
      <c r="M97" s="25" t="s">
        <v>31</v>
      </c>
      <c r="N97" s="23" t="s">
        <v>32</v>
      </c>
      <c r="O97" s="23" t="s">
        <v>197</v>
      </c>
      <c r="P97" s="23" t="s">
        <v>34</v>
      </c>
      <c r="Q97" s="27" t="str">
        <f>HYPERLINK("http://ovopark.oss-cn-hangzhou.aliyuncs.com/62_1656768357868_2232_2062764523002864_.jpg","查看图片")</f>
        <v>查看图片</v>
      </c>
      <c r="R97" s="23" t="s">
        <v>35</v>
      </c>
      <c r="S97" s="23" t="s">
        <v>459</v>
      </c>
      <c r="T97" s="23" t="s">
        <v>37</v>
      </c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1"/>
      <c r="AI97" s="20"/>
      <c r="AJ97" s="20"/>
      <c r="AK97" s="20"/>
      <c r="AL97" s="20"/>
      <c r="AM97" s="20"/>
      <c r="AN97" s="20"/>
      <c r="AO97" s="20"/>
    </row>
    <row r="98" s="17" customFormat="1" customHeight="1" spans="1:41">
      <c r="A98" s="20"/>
      <c r="B98" s="20" t="s">
        <v>460</v>
      </c>
      <c r="C98" s="23" t="s">
        <v>21</v>
      </c>
      <c r="D98" s="23" t="s">
        <v>22</v>
      </c>
      <c r="E98" s="23" t="s">
        <v>23</v>
      </c>
      <c r="F98" s="23" t="s">
        <v>461</v>
      </c>
      <c r="G98" s="23" t="s">
        <v>462</v>
      </c>
      <c r="H98" s="23" t="s">
        <v>131</v>
      </c>
      <c r="I98" s="26" t="s">
        <v>206</v>
      </c>
      <c r="J98" s="23" t="s">
        <v>463</v>
      </c>
      <c r="K98" s="23" t="s">
        <v>463</v>
      </c>
      <c r="L98" s="23" t="s">
        <v>464</v>
      </c>
      <c r="M98" s="25" t="s">
        <v>31</v>
      </c>
      <c r="N98" s="23" t="s">
        <v>464</v>
      </c>
      <c r="O98" s="23" t="s">
        <v>465</v>
      </c>
      <c r="P98" s="23" t="s">
        <v>34</v>
      </c>
      <c r="Q98" s="23" t="s">
        <v>34</v>
      </c>
      <c r="R98" s="23" t="s">
        <v>35</v>
      </c>
      <c r="S98" s="23" t="s">
        <v>466</v>
      </c>
      <c r="T98" s="23" t="s">
        <v>37</v>
      </c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1"/>
      <c r="AI98" s="20"/>
      <c r="AJ98" s="20"/>
      <c r="AK98" s="20"/>
      <c r="AL98" s="20"/>
      <c r="AM98" s="20"/>
      <c r="AN98" s="20"/>
      <c r="AO98" s="20"/>
    </row>
    <row r="99" s="17" customFormat="1" customHeight="1" spans="1:41">
      <c r="A99" s="20"/>
      <c r="B99" s="20" t="s">
        <v>460</v>
      </c>
      <c r="C99" s="23" t="s">
        <v>138</v>
      </c>
      <c r="D99" s="23" t="s">
        <v>168</v>
      </c>
      <c r="E99" s="23" t="s">
        <v>23</v>
      </c>
      <c r="F99" s="23" t="s">
        <v>461</v>
      </c>
      <c r="G99" s="23" t="s">
        <v>467</v>
      </c>
      <c r="H99" s="23" t="s">
        <v>131</v>
      </c>
      <c r="I99" s="26" t="s">
        <v>206</v>
      </c>
      <c r="J99" s="23" t="s">
        <v>463</v>
      </c>
      <c r="K99" s="23" t="s">
        <v>463</v>
      </c>
      <c r="L99" s="23" t="s">
        <v>464</v>
      </c>
      <c r="M99" s="25" t="s">
        <v>31</v>
      </c>
      <c r="N99" s="23" t="s">
        <v>464</v>
      </c>
      <c r="O99" s="23" t="s">
        <v>465</v>
      </c>
      <c r="P99" s="23" t="s">
        <v>34</v>
      </c>
      <c r="Q99" s="23" t="s">
        <v>34</v>
      </c>
      <c r="R99" s="23" t="s">
        <v>35</v>
      </c>
      <c r="S99" s="23" t="s">
        <v>468</v>
      </c>
      <c r="T99" s="23" t="s">
        <v>37</v>
      </c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1"/>
      <c r="AI99" s="20"/>
      <c r="AJ99" s="20"/>
      <c r="AK99" s="20"/>
      <c r="AL99" s="20"/>
      <c r="AM99" s="20"/>
      <c r="AN99" s="20"/>
      <c r="AO99" s="20"/>
    </row>
    <row r="100" s="17" customFormat="1" customHeight="1" spans="1:41">
      <c r="A100" s="20">
        <v>704</v>
      </c>
      <c r="B100" s="20" t="s">
        <v>469</v>
      </c>
      <c r="C100" s="23" t="s">
        <v>138</v>
      </c>
      <c r="D100" s="23" t="s">
        <v>174</v>
      </c>
      <c r="E100" s="23" t="s">
        <v>23</v>
      </c>
      <c r="F100" s="23" t="s">
        <v>24</v>
      </c>
      <c r="G100" s="23" t="s">
        <v>470</v>
      </c>
      <c r="H100" s="23" t="s">
        <v>130</v>
      </c>
      <c r="I100" s="26" t="s">
        <v>131</v>
      </c>
      <c r="J100" s="23" t="s">
        <v>471</v>
      </c>
      <c r="K100" s="23" t="s">
        <v>472</v>
      </c>
      <c r="L100" s="23" t="s">
        <v>473</v>
      </c>
      <c r="M100" s="25" t="s">
        <v>31</v>
      </c>
      <c r="N100" s="23" t="s">
        <v>32</v>
      </c>
      <c r="O100" s="23" t="s">
        <v>145</v>
      </c>
      <c r="P100" s="23" t="s">
        <v>34</v>
      </c>
      <c r="Q100" s="27" t="str">
        <f>HYPERLINK("http://ovopark.oss-cn-hangzhou.aliyuncs.com/62_1656594803674_2223_419411171162536_.jpg","查看图片")</f>
        <v>查看图片</v>
      </c>
      <c r="R100" s="23" t="s">
        <v>35</v>
      </c>
      <c r="S100" s="23" t="s">
        <v>474</v>
      </c>
      <c r="T100" s="23" t="s">
        <v>37</v>
      </c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1"/>
      <c r="AI100" s="20"/>
      <c r="AJ100" s="20"/>
      <c r="AK100" s="20"/>
      <c r="AL100" s="20"/>
      <c r="AM100" s="20"/>
      <c r="AN100" s="20"/>
      <c r="AO100" s="20"/>
    </row>
    <row r="101" s="17" customFormat="1" customHeight="1" spans="1:41">
      <c r="A101" s="20">
        <v>704</v>
      </c>
      <c r="B101" s="20" t="s">
        <v>469</v>
      </c>
      <c r="C101" s="23" t="s">
        <v>138</v>
      </c>
      <c r="D101" s="23" t="s">
        <v>179</v>
      </c>
      <c r="E101" s="23" t="s">
        <v>23</v>
      </c>
      <c r="F101" s="23" t="s">
        <v>24</v>
      </c>
      <c r="G101" s="23" t="s">
        <v>470</v>
      </c>
      <c r="H101" s="23" t="s">
        <v>130</v>
      </c>
      <c r="I101" s="26" t="s">
        <v>131</v>
      </c>
      <c r="J101" s="23" t="s">
        <v>475</v>
      </c>
      <c r="K101" s="23" t="s">
        <v>476</v>
      </c>
      <c r="L101" s="23" t="s">
        <v>473</v>
      </c>
      <c r="M101" s="25" t="s">
        <v>31</v>
      </c>
      <c r="N101" s="23" t="s">
        <v>32</v>
      </c>
      <c r="O101" s="23" t="s">
        <v>145</v>
      </c>
      <c r="P101" s="23" t="s">
        <v>34</v>
      </c>
      <c r="Q101" s="27" t="str">
        <f>HYPERLINK("http://ovopark.oss-cn-hangzhou.aliyuncs.com/62_1656594833958_2223_419441439913922_.jpg","查看图片")</f>
        <v>查看图片</v>
      </c>
      <c r="R101" s="23" t="s">
        <v>35</v>
      </c>
      <c r="S101" s="23" t="s">
        <v>477</v>
      </c>
      <c r="T101" s="23" t="s">
        <v>37</v>
      </c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1"/>
      <c r="AI101" s="20"/>
      <c r="AJ101" s="20"/>
      <c r="AK101" s="20"/>
      <c r="AL101" s="20"/>
      <c r="AM101" s="20"/>
      <c r="AN101" s="20"/>
      <c r="AO101" s="20"/>
    </row>
    <row r="102" s="17" customFormat="1" customHeight="1" spans="1:41">
      <c r="A102" s="20">
        <v>704</v>
      </c>
      <c r="B102" s="20" t="s">
        <v>469</v>
      </c>
      <c r="C102" s="23" t="s">
        <v>138</v>
      </c>
      <c r="D102" s="23" t="s">
        <v>183</v>
      </c>
      <c r="E102" s="23" t="s">
        <v>23</v>
      </c>
      <c r="F102" s="23" t="s">
        <v>24</v>
      </c>
      <c r="G102" s="23" t="s">
        <v>470</v>
      </c>
      <c r="H102" s="23" t="s">
        <v>130</v>
      </c>
      <c r="I102" s="26" t="s">
        <v>131</v>
      </c>
      <c r="J102" s="23" t="s">
        <v>478</v>
      </c>
      <c r="K102" s="23" t="s">
        <v>479</v>
      </c>
      <c r="L102" s="23" t="s">
        <v>473</v>
      </c>
      <c r="M102" s="25" t="s">
        <v>31</v>
      </c>
      <c r="N102" s="23" t="s">
        <v>32</v>
      </c>
      <c r="O102" s="23" t="s">
        <v>145</v>
      </c>
      <c r="P102" s="23" t="s">
        <v>34</v>
      </c>
      <c r="Q102" s="27" t="str">
        <f>HYPERLINK("http://ovopark.oss-cn-hangzhou.aliyuncs.com/62_1656594896736_2223_419504231584234_.jpg","查看图片")</f>
        <v>查看图片</v>
      </c>
      <c r="R102" s="23" t="s">
        <v>35</v>
      </c>
      <c r="S102" s="23" t="s">
        <v>480</v>
      </c>
      <c r="T102" s="23" t="s">
        <v>37</v>
      </c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1"/>
      <c r="AI102" s="20"/>
      <c r="AJ102" s="20"/>
      <c r="AK102" s="20"/>
      <c r="AL102" s="20"/>
      <c r="AM102" s="20"/>
      <c r="AN102" s="20"/>
      <c r="AO102" s="20"/>
    </row>
    <row r="103" s="17" customFormat="1" customHeight="1" spans="1:41">
      <c r="A103" s="20">
        <v>704</v>
      </c>
      <c r="B103" s="20" t="s">
        <v>469</v>
      </c>
      <c r="C103" s="23" t="s">
        <v>21</v>
      </c>
      <c r="D103" s="23" t="s">
        <v>22</v>
      </c>
      <c r="E103" s="23" t="s">
        <v>23</v>
      </c>
      <c r="F103" s="23" t="s">
        <v>24</v>
      </c>
      <c r="G103" s="23" t="s">
        <v>481</v>
      </c>
      <c r="H103" s="23" t="s">
        <v>130</v>
      </c>
      <c r="I103" s="26" t="s">
        <v>131</v>
      </c>
      <c r="J103" s="23" t="s">
        <v>482</v>
      </c>
      <c r="K103" s="23" t="s">
        <v>483</v>
      </c>
      <c r="L103" s="23" t="s">
        <v>473</v>
      </c>
      <c r="M103" s="25" t="s">
        <v>31</v>
      </c>
      <c r="N103" s="23" t="s">
        <v>32</v>
      </c>
      <c r="O103" s="23" t="s">
        <v>145</v>
      </c>
      <c r="P103" s="23" t="s">
        <v>34</v>
      </c>
      <c r="Q103" s="27" t="str">
        <f>HYPERLINK("http://ovopark.oss-cn-hangzhou.aliyuncs.com/62_1656595239876_2223_419847370016485_.jpg","查看图片")</f>
        <v>查看图片</v>
      </c>
      <c r="R103" s="23" t="s">
        <v>35</v>
      </c>
      <c r="S103" s="23" t="s">
        <v>484</v>
      </c>
      <c r="T103" s="23" t="s">
        <v>37</v>
      </c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1"/>
      <c r="AI103" s="20"/>
      <c r="AJ103" s="20"/>
      <c r="AK103" s="20"/>
      <c r="AL103" s="20"/>
      <c r="AM103" s="20"/>
      <c r="AN103" s="20"/>
      <c r="AO103" s="20"/>
    </row>
    <row r="104" s="17" customFormat="1" customHeight="1" spans="1:41">
      <c r="A104" s="20">
        <v>704</v>
      </c>
      <c r="B104" s="20" t="s">
        <v>469</v>
      </c>
      <c r="C104" s="23" t="s">
        <v>138</v>
      </c>
      <c r="D104" s="23" t="s">
        <v>168</v>
      </c>
      <c r="E104" s="23" t="s">
        <v>23</v>
      </c>
      <c r="F104" s="23" t="s">
        <v>24</v>
      </c>
      <c r="G104" s="23" t="s">
        <v>485</v>
      </c>
      <c r="H104" s="23" t="s">
        <v>54</v>
      </c>
      <c r="I104" s="26" t="s">
        <v>170</v>
      </c>
      <c r="J104" s="23" t="s">
        <v>486</v>
      </c>
      <c r="K104" s="23" t="s">
        <v>487</v>
      </c>
      <c r="L104" s="23" t="s">
        <v>473</v>
      </c>
      <c r="M104" s="25" t="s">
        <v>31</v>
      </c>
      <c r="N104" s="23" t="s">
        <v>32</v>
      </c>
      <c r="O104" s="23" t="s">
        <v>145</v>
      </c>
      <c r="P104" s="23" t="s">
        <v>34</v>
      </c>
      <c r="Q104" s="27" t="str">
        <f>HYPERLINK("http://ovopark.oss-cn-hangzhou.aliyuncs.com/62_1656595323449_2223_419930930701413_.jpg","查看图片")</f>
        <v>查看图片</v>
      </c>
      <c r="R104" s="23" t="s">
        <v>35</v>
      </c>
      <c r="S104" s="23" t="s">
        <v>488</v>
      </c>
      <c r="T104" s="23" t="s">
        <v>37</v>
      </c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1"/>
      <c r="AI104" s="20"/>
      <c r="AJ104" s="20"/>
      <c r="AK104" s="20"/>
      <c r="AL104" s="20"/>
      <c r="AM104" s="20"/>
      <c r="AN104" s="20"/>
      <c r="AO104" s="20"/>
    </row>
    <row r="105" s="17" customFormat="1" customHeight="1" spans="1:41">
      <c r="A105" s="20">
        <v>105910</v>
      </c>
      <c r="B105" s="20" t="s">
        <v>489</v>
      </c>
      <c r="C105" s="23" t="s">
        <v>21</v>
      </c>
      <c r="D105" s="23" t="s">
        <v>22</v>
      </c>
      <c r="E105" s="23" t="s">
        <v>23</v>
      </c>
      <c r="F105" s="23" t="s">
        <v>24</v>
      </c>
      <c r="G105" s="23" t="s">
        <v>490</v>
      </c>
      <c r="H105" s="23" t="s">
        <v>130</v>
      </c>
      <c r="I105" s="26" t="s">
        <v>131</v>
      </c>
      <c r="J105" s="23" t="s">
        <v>491</v>
      </c>
      <c r="K105" s="23" t="s">
        <v>492</v>
      </c>
      <c r="L105" s="23" t="s">
        <v>493</v>
      </c>
      <c r="M105" s="25" t="s">
        <v>31</v>
      </c>
      <c r="N105" s="23" t="s">
        <v>32</v>
      </c>
      <c r="O105" s="23" t="s">
        <v>197</v>
      </c>
      <c r="P105" s="23" t="s">
        <v>34</v>
      </c>
      <c r="Q105" s="27" t="str">
        <f>HYPERLINK("https://ovopark.oss-cn-hangzhou.aliyuncs.com/2022/06/30/image_1656552871980.jpg","查看图片")</f>
        <v>查看图片</v>
      </c>
      <c r="R105" s="23" t="s">
        <v>35</v>
      </c>
      <c r="S105" s="23" t="s">
        <v>494</v>
      </c>
      <c r="T105" s="23" t="s">
        <v>37</v>
      </c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1"/>
      <c r="AI105" s="20"/>
      <c r="AJ105" s="20"/>
      <c r="AK105" s="20"/>
      <c r="AL105" s="20"/>
      <c r="AM105" s="20"/>
      <c r="AN105" s="20"/>
      <c r="AO105" s="20"/>
    </row>
    <row r="106" s="17" customFormat="1" customHeight="1" spans="1:41">
      <c r="A106" s="20">
        <v>582</v>
      </c>
      <c r="B106" s="20" t="s">
        <v>495</v>
      </c>
      <c r="C106" s="23" t="s">
        <v>138</v>
      </c>
      <c r="D106" s="23" t="s">
        <v>257</v>
      </c>
      <c r="E106" s="23" t="s">
        <v>23</v>
      </c>
      <c r="F106" s="23" t="s">
        <v>24</v>
      </c>
      <c r="G106" s="23" t="s">
        <v>496</v>
      </c>
      <c r="H106" s="23" t="s">
        <v>497</v>
      </c>
      <c r="I106" s="26" t="s">
        <v>26</v>
      </c>
      <c r="J106" s="23" t="s">
        <v>498</v>
      </c>
      <c r="K106" s="23" t="s">
        <v>499</v>
      </c>
      <c r="L106" s="23" t="s">
        <v>500</v>
      </c>
      <c r="M106" s="25" t="s">
        <v>31</v>
      </c>
      <c r="N106" s="23" t="s">
        <v>32</v>
      </c>
      <c r="O106" s="23" t="s">
        <v>197</v>
      </c>
      <c r="P106" s="23" t="s">
        <v>34</v>
      </c>
      <c r="Q106" s="27" t="str">
        <f>HYPERLINK("https://ovopark.oss-cn-hangzhou.aliyuncs.com/2022/06/28/image_1656419669514.jpg","查看图片")</f>
        <v>查看图片</v>
      </c>
      <c r="R106" s="23" t="s">
        <v>35</v>
      </c>
      <c r="S106" s="23" t="s">
        <v>501</v>
      </c>
      <c r="T106" s="23" t="s">
        <v>37</v>
      </c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1"/>
      <c r="AI106" s="20"/>
      <c r="AJ106" s="20"/>
      <c r="AK106" s="20"/>
      <c r="AL106" s="20"/>
      <c r="AM106" s="20"/>
      <c r="AN106" s="20"/>
      <c r="AO106" s="20"/>
    </row>
    <row r="107" s="17" customFormat="1" customHeight="1" spans="1:41">
      <c r="A107" s="20">
        <v>582</v>
      </c>
      <c r="B107" s="20" t="s">
        <v>495</v>
      </c>
      <c r="C107" s="23" t="s">
        <v>21</v>
      </c>
      <c r="D107" s="23" t="s">
        <v>22</v>
      </c>
      <c r="E107" s="23" t="s">
        <v>23</v>
      </c>
      <c r="F107" s="23" t="s">
        <v>24</v>
      </c>
      <c r="G107" s="23" t="s">
        <v>502</v>
      </c>
      <c r="H107" s="23" t="s">
        <v>130</v>
      </c>
      <c r="I107" s="26" t="s">
        <v>131</v>
      </c>
      <c r="J107" s="23" t="s">
        <v>503</v>
      </c>
      <c r="K107" s="23" t="s">
        <v>504</v>
      </c>
      <c r="L107" s="23" t="s">
        <v>500</v>
      </c>
      <c r="M107" s="25" t="s">
        <v>31</v>
      </c>
      <c r="N107" s="23" t="s">
        <v>32</v>
      </c>
      <c r="O107" s="23" t="s">
        <v>197</v>
      </c>
      <c r="P107" s="23" t="s">
        <v>34</v>
      </c>
      <c r="Q107" s="27" t="str">
        <f>HYPERLINK("https://ovopark.oss-cn-hangzhou.aliyuncs.com/2022/06/28/image_1656419717392.jpg","查看图片")</f>
        <v>查看图片</v>
      </c>
      <c r="R107" s="23" t="s">
        <v>35</v>
      </c>
      <c r="S107" s="23" t="s">
        <v>505</v>
      </c>
      <c r="T107" s="23" t="s">
        <v>37</v>
      </c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1"/>
      <c r="AI107" s="20"/>
      <c r="AJ107" s="20"/>
      <c r="AK107" s="20"/>
      <c r="AL107" s="20"/>
      <c r="AM107" s="20"/>
      <c r="AN107" s="20"/>
      <c r="AO107" s="20"/>
    </row>
    <row r="108" s="17" customFormat="1" customHeight="1" spans="1:41">
      <c r="A108" s="20">
        <v>513</v>
      </c>
      <c r="B108" s="20" t="s">
        <v>506</v>
      </c>
      <c r="C108" s="23" t="s">
        <v>138</v>
      </c>
      <c r="D108" s="23" t="s">
        <v>257</v>
      </c>
      <c r="E108" s="23" t="s">
        <v>23</v>
      </c>
      <c r="F108" s="23" t="s">
        <v>24</v>
      </c>
      <c r="G108" s="23" t="s">
        <v>507</v>
      </c>
      <c r="H108" s="23" t="s">
        <v>497</v>
      </c>
      <c r="I108" s="26" t="s">
        <v>26</v>
      </c>
      <c r="J108" s="23" t="s">
        <v>508</v>
      </c>
      <c r="K108" s="23" t="s">
        <v>509</v>
      </c>
      <c r="L108" s="23" t="s">
        <v>510</v>
      </c>
      <c r="M108" s="25" t="s">
        <v>31</v>
      </c>
      <c r="N108" s="23" t="s">
        <v>32</v>
      </c>
      <c r="O108" s="23" t="s">
        <v>197</v>
      </c>
      <c r="P108" s="23" t="s">
        <v>34</v>
      </c>
      <c r="Q108" s="27" t="str">
        <f>HYPERLINK("http://ovopark.oss-cn-hangzhou.aliyuncs.com/62_1656392077255_5208_344230959676497_.jpg","查看图片")</f>
        <v>查看图片</v>
      </c>
      <c r="R108" s="23" t="s">
        <v>35</v>
      </c>
      <c r="S108" s="23" t="s">
        <v>511</v>
      </c>
      <c r="T108" s="23" t="s">
        <v>37</v>
      </c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1"/>
      <c r="AI108" s="20"/>
      <c r="AJ108" s="20"/>
      <c r="AK108" s="20"/>
      <c r="AL108" s="20"/>
      <c r="AM108" s="20"/>
      <c r="AN108" s="20"/>
      <c r="AO108" s="20"/>
    </row>
    <row r="109" s="17" customFormat="1" customHeight="1" spans="1:41">
      <c r="A109" s="20">
        <v>513</v>
      </c>
      <c r="B109" s="20" t="s">
        <v>506</v>
      </c>
      <c r="C109" s="23" t="s">
        <v>138</v>
      </c>
      <c r="D109" s="23" t="s">
        <v>139</v>
      </c>
      <c r="E109" s="23" t="s">
        <v>23</v>
      </c>
      <c r="F109" s="23" t="s">
        <v>24</v>
      </c>
      <c r="G109" s="23" t="s">
        <v>512</v>
      </c>
      <c r="H109" s="23" t="s">
        <v>241</v>
      </c>
      <c r="I109" s="26" t="s">
        <v>130</v>
      </c>
      <c r="J109" s="23" t="s">
        <v>513</v>
      </c>
      <c r="K109" s="23" t="s">
        <v>514</v>
      </c>
      <c r="L109" s="23" t="s">
        <v>510</v>
      </c>
      <c r="M109" s="25" t="s">
        <v>31</v>
      </c>
      <c r="N109" s="23" t="s">
        <v>32</v>
      </c>
      <c r="O109" s="23" t="s">
        <v>197</v>
      </c>
      <c r="P109" s="23" t="s">
        <v>34</v>
      </c>
      <c r="Q109" s="27" t="str">
        <f>HYPERLINK("http://ovopark.oss-cn-hangzhou.aliyuncs.com/62_1656392790481_5208_344944623318985_.jpg","查看图片")</f>
        <v>查看图片</v>
      </c>
      <c r="R109" s="23" t="s">
        <v>35</v>
      </c>
      <c r="S109" s="23" t="s">
        <v>515</v>
      </c>
      <c r="T109" s="23" t="s">
        <v>37</v>
      </c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1"/>
      <c r="AI109" s="20"/>
      <c r="AJ109" s="20"/>
      <c r="AK109" s="20"/>
      <c r="AL109" s="20"/>
      <c r="AM109" s="20"/>
      <c r="AN109" s="20"/>
      <c r="AO109" s="20"/>
    </row>
    <row r="110" s="17" customFormat="1" customHeight="1" spans="1:41">
      <c r="A110" s="20">
        <v>513</v>
      </c>
      <c r="B110" s="20" t="s">
        <v>506</v>
      </c>
      <c r="C110" s="23" t="s">
        <v>138</v>
      </c>
      <c r="D110" s="23" t="s">
        <v>161</v>
      </c>
      <c r="E110" s="23" t="s">
        <v>23</v>
      </c>
      <c r="F110" s="23" t="s">
        <v>24</v>
      </c>
      <c r="G110" s="23" t="s">
        <v>512</v>
      </c>
      <c r="H110" s="23" t="s">
        <v>241</v>
      </c>
      <c r="I110" s="26" t="s">
        <v>130</v>
      </c>
      <c r="J110" s="23" t="s">
        <v>516</v>
      </c>
      <c r="K110" s="23" t="s">
        <v>517</v>
      </c>
      <c r="L110" s="23" t="s">
        <v>510</v>
      </c>
      <c r="M110" s="25" t="s">
        <v>31</v>
      </c>
      <c r="N110" s="23" t="s">
        <v>32</v>
      </c>
      <c r="O110" s="23" t="s">
        <v>197</v>
      </c>
      <c r="P110" s="23" t="s">
        <v>34</v>
      </c>
      <c r="Q110" s="27" t="str">
        <f>HYPERLINK("http://ovopark.oss-cn-hangzhou.aliyuncs.com/62_1656392757399_5208_344911105724310_.jpg","查看图片")</f>
        <v>查看图片</v>
      </c>
      <c r="R110" s="23" t="s">
        <v>35</v>
      </c>
      <c r="S110" s="23" t="s">
        <v>518</v>
      </c>
      <c r="T110" s="23" t="s">
        <v>37</v>
      </c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1"/>
      <c r="AI110" s="20"/>
      <c r="AJ110" s="20"/>
      <c r="AK110" s="20"/>
      <c r="AL110" s="20"/>
      <c r="AM110" s="20"/>
      <c r="AN110" s="20"/>
      <c r="AO110" s="20"/>
    </row>
    <row r="111" s="17" customFormat="1" customHeight="1" spans="1:41">
      <c r="A111" s="20">
        <v>513</v>
      </c>
      <c r="B111" s="20" t="s">
        <v>506</v>
      </c>
      <c r="C111" s="23" t="s">
        <v>138</v>
      </c>
      <c r="D111" s="23" t="s">
        <v>156</v>
      </c>
      <c r="E111" s="23" t="s">
        <v>23</v>
      </c>
      <c r="F111" s="23" t="s">
        <v>24</v>
      </c>
      <c r="G111" s="23" t="s">
        <v>512</v>
      </c>
      <c r="H111" s="23" t="s">
        <v>241</v>
      </c>
      <c r="I111" s="26" t="s">
        <v>130</v>
      </c>
      <c r="J111" s="23" t="s">
        <v>519</v>
      </c>
      <c r="K111" s="23" t="s">
        <v>520</v>
      </c>
      <c r="L111" s="23" t="s">
        <v>510</v>
      </c>
      <c r="M111" s="25" t="s">
        <v>31</v>
      </c>
      <c r="N111" s="23" t="s">
        <v>32</v>
      </c>
      <c r="O111" s="23" t="s">
        <v>197</v>
      </c>
      <c r="P111" s="23" t="s">
        <v>34</v>
      </c>
      <c r="Q111" s="27" t="str">
        <f>HYPERLINK("http://ovopark.oss-cn-hangzhou.aliyuncs.com/62_1656392729269_5208_344882957944790_.jpg","查看图片")</f>
        <v>查看图片</v>
      </c>
      <c r="R111" s="23" t="s">
        <v>35</v>
      </c>
      <c r="S111" s="23" t="s">
        <v>521</v>
      </c>
      <c r="T111" s="23" t="s">
        <v>37</v>
      </c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1"/>
      <c r="AI111" s="20"/>
      <c r="AJ111" s="20"/>
      <c r="AK111" s="20"/>
      <c r="AL111" s="20"/>
      <c r="AM111" s="20"/>
      <c r="AN111" s="20"/>
      <c r="AO111" s="20"/>
    </row>
    <row r="112" s="17" customFormat="1" customHeight="1" spans="1:41">
      <c r="A112" s="20">
        <v>513</v>
      </c>
      <c r="B112" s="20" t="s">
        <v>506</v>
      </c>
      <c r="C112" s="23" t="s">
        <v>138</v>
      </c>
      <c r="D112" s="23" t="s">
        <v>152</v>
      </c>
      <c r="E112" s="23" t="s">
        <v>23</v>
      </c>
      <c r="F112" s="23" t="s">
        <v>24</v>
      </c>
      <c r="G112" s="23" t="s">
        <v>522</v>
      </c>
      <c r="H112" s="23" t="s">
        <v>241</v>
      </c>
      <c r="I112" s="26" t="s">
        <v>130</v>
      </c>
      <c r="J112" s="23" t="s">
        <v>523</v>
      </c>
      <c r="K112" s="23" t="s">
        <v>524</v>
      </c>
      <c r="L112" s="23" t="s">
        <v>510</v>
      </c>
      <c r="M112" s="25" t="s">
        <v>31</v>
      </c>
      <c r="N112" s="23" t="s">
        <v>32</v>
      </c>
      <c r="O112" s="23" t="s">
        <v>197</v>
      </c>
      <c r="P112" s="23" t="s">
        <v>34</v>
      </c>
      <c r="Q112" s="27" t="str">
        <f>HYPERLINK("http://ovopark.oss-cn-hangzhou.aliyuncs.com/62_1656392695890_5208_344850006025479_.jpg","查看图片")</f>
        <v>查看图片</v>
      </c>
      <c r="R112" s="23" t="s">
        <v>35</v>
      </c>
      <c r="S112" s="23" t="s">
        <v>525</v>
      </c>
      <c r="T112" s="23" t="s">
        <v>37</v>
      </c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1"/>
      <c r="AI112" s="20"/>
      <c r="AJ112" s="20"/>
      <c r="AK112" s="20"/>
      <c r="AL112" s="20"/>
      <c r="AM112" s="20"/>
      <c r="AN112" s="20"/>
      <c r="AO112" s="20"/>
    </row>
    <row r="113" s="17" customFormat="1" customHeight="1" spans="1:41">
      <c r="A113" s="20">
        <v>513</v>
      </c>
      <c r="B113" s="20" t="s">
        <v>506</v>
      </c>
      <c r="C113" s="23" t="s">
        <v>138</v>
      </c>
      <c r="D113" s="23" t="s">
        <v>147</v>
      </c>
      <c r="E113" s="23" t="s">
        <v>23</v>
      </c>
      <c r="F113" s="23" t="s">
        <v>24</v>
      </c>
      <c r="G113" s="23" t="s">
        <v>522</v>
      </c>
      <c r="H113" s="23" t="s">
        <v>241</v>
      </c>
      <c r="I113" s="26" t="s">
        <v>130</v>
      </c>
      <c r="J113" s="23" t="s">
        <v>526</v>
      </c>
      <c r="K113" s="23" t="s">
        <v>527</v>
      </c>
      <c r="L113" s="23" t="s">
        <v>510</v>
      </c>
      <c r="M113" s="25" t="s">
        <v>31</v>
      </c>
      <c r="N113" s="23" t="s">
        <v>32</v>
      </c>
      <c r="O113" s="23" t="s">
        <v>197</v>
      </c>
      <c r="P113" s="23" t="s">
        <v>34</v>
      </c>
      <c r="Q113" s="27" t="str">
        <f>HYPERLINK("http://ovopark.oss-cn-hangzhou.aliyuncs.com/62_1656392662965_5208_344817129549763_.jpg","查看图片")</f>
        <v>查看图片</v>
      </c>
      <c r="R113" s="23" t="s">
        <v>35</v>
      </c>
      <c r="S113" s="23" t="s">
        <v>528</v>
      </c>
      <c r="T113" s="23" t="s">
        <v>37</v>
      </c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1"/>
      <c r="AI113" s="20"/>
      <c r="AJ113" s="20"/>
      <c r="AK113" s="20"/>
      <c r="AL113" s="20"/>
      <c r="AM113" s="20"/>
      <c r="AN113" s="20"/>
      <c r="AO113" s="20"/>
    </row>
    <row r="114" s="17" customFormat="1" customHeight="1" spans="1:41">
      <c r="A114" s="20">
        <v>513</v>
      </c>
      <c r="B114" s="20" t="s">
        <v>506</v>
      </c>
      <c r="C114" s="23" t="s">
        <v>138</v>
      </c>
      <c r="D114" s="23" t="s">
        <v>168</v>
      </c>
      <c r="E114" s="23" t="s">
        <v>23</v>
      </c>
      <c r="F114" s="23" t="s">
        <v>24</v>
      </c>
      <c r="G114" s="23" t="s">
        <v>529</v>
      </c>
      <c r="H114" s="23" t="s">
        <v>241</v>
      </c>
      <c r="I114" s="26" t="s">
        <v>130</v>
      </c>
      <c r="J114" s="23" t="s">
        <v>530</v>
      </c>
      <c r="K114" s="23" t="s">
        <v>531</v>
      </c>
      <c r="L114" s="23" t="s">
        <v>510</v>
      </c>
      <c r="M114" s="25" t="s">
        <v>31</v>
      </c>
      <c r="N114" s="23" t="s">
        <v>32</v>
      </c>
      <c r="O114" s="23" t="s">
        <v>197</v>
      </c>
      <c r="P114" s="23" t="s">
        <v>34</v>
      </c>
      <c r="Q114" s="27" t="str">
        <f>HYPERLINK("http://ovopark.oss-cn-hangzhou.aliyuncs.com/62_1656392643065_5208_344797212336385_.jpg","查看图片")</f>
        <v>查看图片</v>
      </c>
      <c r="R114" s="23" t="s">
        <v>35</v>
      </c>
      <c r="S114" s="23" t="s">
        <v>532</v>
      </c>
      <c r="T114" s="23" t="s">
        <v>37</v>
      </c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1"/>
      <c r="AI114" s="20"/>
      <c r="AJ114" s="20"/>
      <c r="AK114" s="20"/>
      <c r="AL114" s="20"/>
      <c r="AM114" s="20"/>
      <c r="AN114" s="20"/>
      <c r="AO114" s="20"/>
    </row>
    <row r="115" s="17" customFormat="1" customHeight="1" spans="1:41">
      <c r="A115" s="20">
        <v>513</v>
      </c>
      <c r="B115" s="20" t="s">
        <v>506</v>
      </c>
      <c r="C115" s="23" t="s">
        <v>21</v>
      </c>
      <c r="D115" s="23" t="s">
        <v>22</v>
      </c>
      <c r="E115" s="23" t="s">
        <v>23</v>
      </c>
      <c r="F115" s="23" t="s">
        <v>24</v>
      </c>
      <c r="G115" s="23" t="s">
        <v>533</v>
      </c>
      <c r="H115" s="23" t="s">
        <v>534</v>
      </c>
      <c r="I115" s="26" t="s">
        <v>241</v>
      </c>
      <c r="J115" s="23" t="s">
        <v>535</v>
      </c>
      <c r="K115" s="23" t="s">
        <v>536</v>
      </c>
      <c r="L115" s="23" t="s">
        <v>510</v>
      </c>
      <c r="M115" s="25" t="s">
        <v>31</v>
      </c>
      <c r="N115" s="23" t="s">
        <v>32</v>
      </c>
      <c r="O115" s="23" t="s">
        <v>197</v>
      </c>
      <c r="P115" s="23" t="s">
        <v>34</v>
      </c>
      <c r="Q115" s="27" t="str">
        <f>HYPERLINK("http://ovopark.oss-cn-hangzhou.aliyuncs.com/62_1656392911414_5208_345065576192897_.jpg","查看图片")</f>
        <v>查看图片</v>
      </c>
      <c r="R115" s="23" t="s">
        <v>35</v>
      </c>
      <c r="S115" s="23" t="s">
        <v>537</v>
      </c>
      <c r="T115" s="23" t="s">
        <v>37</v>
      </c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1"/>
      <c r="AI115" s="20"/>
      <c r="AJ115" s="20"/>
      <c r="AK115" s="20"/>
      <c r="AL115" s="20"/>
      <c r="AM115" s="20"/>
      <c r="AN115" s="20"/>
      <c r="AO115" s="20"/>
    </row>
    <row r="116" s="17" customFormat="1" customHeight="1" spans="1:41">
      <c r="A116" s="20">
        <v>513</v>
      </c>
      <c r="B116" s="20" t="s">
        <v>506</v>
      </c>
      <c r="C116" s="23" t="s">
        <v>138</v>
      </c>
      <c r="D116" s="23" t="s">
        <v>183</v>
      </c>
      <c r="E116" s="23" t="s">
        <v>23</v>
      </c>
      <c r="F116" s="23" t="s">
        <v>24</v>
      </c>
      <c r="G116" s="23" t="s">
        <v>538</v>
      </c>
      <c r="H116" s="23" t="s">
        <v>539</v>
      </c>
      <c r="I116" s="26" t="s">
        <v>540</v>
      </c>
      <c r="J116" s="23" t="s">
        <v>541</v>
      </c>
      <c r="K116" s="23" t="s">
        <v>542</v>
      </c>
      <c r="L116" s="23" t="s">
        <v>510</v>
      </c>
      <c r="M116" s="25" t="s">
        <v>31</v>
      </c>
      <c r="N116" s="23" t="s">
        <v>32</v>
      </c>
      <c r="O116" s="23" t="s">
        <v>197</v>
      </c>
      <c r="P116" s="23" t="s">
        <v>34</v>
      </c>
      <c r="Q116" s="27" t="str">
        <f>HYPERLINK("http://ovopark.oss-cn-hangzhou.aliyuncs.com/62_1656393072085_5208_345226226609867_.jpg","查看图片")</f>
        <v>查看图片</v>
      </c>
      <c r="R116" s="23" t="s">
        <v>35</v>
      </c>
      <c r="S116" s="23" t="s">
        <v>543</v>
      </c>
      <c r="T116" s="23" t="s">
        <v>37</v>
      </c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1"/>
      <c r="AI116" s="20"/>
      <c r="AJ116" s="20"/>
      <c r="AK116" s="20"/>
      <c r="AL116" s="20"/>
      <c r="AM116" s="20"/>
      <c r="AN116" s="20"/>
      <c r="AO116" s="20"/>
    </row>
    <row r="117" s="17" customFormat="1" customHeight="1" spans="1:41">
      <c r="A117" s="20">
        <v>513</v>
      </c>
      <c r="B117" s="20" t="s">
        <v>506</v>
      </c>
      <c r="C117" s="23" t="s">
        <v>138</v>
      </c>
      <c r="D117" s="23" t="s">
        <v>179</v>
      </c>
      <c r="E117" s="23" t="s">
        <v>23</v>
      </c>
      <c r="F117" s="23" t="s">
        <v>24</v>
      </c>
      <c r="G117" s="23" t="s">
        <v>538</v>
      </c>
      <c r="H117" s="23" t="s">
        <v>539</v>
      </c>
      <c r="I117" s="26" t="s">
        <v>540</v>
      </c>
      <c r="J117" s="23" t="s">
        <v>544</v>
      </c>
      <c r="K117" s="23" t="s">
        <v>545</v>
      </c>
      <c r="L117" s="23" t="s">
        <v>510</v>
      </c>
      <c r="M117" s="25" t="s">
        <v>31</v>
      </c>
      <c r="N117" s="23" t="s">
        <v>32</v>
      </c>
      <c r="O117" s="23" t="s">
        <v>197</v>
      </c>
      <c r="P117" s="23" t="s">
        <v>34</v>
      </c>
      <c r="Q117" s="27" t="str">
        <f>HYPERLINK("http://ovopark.oss-cn-hangzhou.aliyuncs.com/62_1656392986366_5208_345140493239691_.jpg","查看图片")</f>
        <v>查看图片</v>
      </c>
      <c r="R117" s="23" t="s">
        <v>35</v>
      </c>
      <c r="S117" s="23" t="s">
        <v>546</v>
      </c>
      <c r="T117" s="23" t="s">
        <v>37</v>
      </c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1"/>
      <c r="AI117" s="20"/>
      <c r="AJ117" s="20"/>
      <c r="AK117" s="20"/>
      <c r="AL117" s="20"/>
      <c r="AM117" s="20"/>
      <c r="AN117" s="20"/>
      <c r="AO117" s="20"/>
    </row>
    <row r="118" s="17" customFormat="1" customHeight="1" spans="1:41">
      <c r="A118" s="20">
        <v>513</v>
      </c>
      <c r="B118" s="20" t="s">
        <v>506</v>
      </c>
      <c r="C118" s="23" t="s">
        <v>138</v>
      </c>
      <c r="D118" s="23" t="s">
        <v>174</v>
      </c>
      <c r="E118" s="23" t="s">
        <v>23</v>
      </c>
      <c r="F118" s="23" t="s">
        <v>24</v>
      </c>
      <c r="G118" s="23" t="s">
        <v>538</v>
      </c>
      <c r="H118" s="23" t="s">
        <v>539</v>
      </c>
      <c r="I118" s="26" t="s">
        <v>540</v>
      </c>
      <c r="J118" s="23" t="s">
        <v>547</v>
      </c>
      <c r="K118" s="23" t="s">
        <v>548</v>
      </c>
      <c r="L118" s="23" t="s">
        <v>510</v>
      </c>
      <c r="M118" s="25" t="s">
        <v>31</v>
      </c>
      <c r="N118" s="23" t="s">
        <v>32</v>
      </c>
      <c r="O118" s="23" t="s">
        <v>197</v>
      </c>
      <c r="P118" s="23" t="s">
        <v>34</v>
      </c>
      <c r="Q118" s="27" t="str">
        <f>HYPERLINK("http://ovopark.oss-cn-hangzhou.aliyuncs.com/62_1656392944398_5208_345098540401530_.jpg","查看图片")</f>
        <v>查看图片</v>
      </c>
      <c r="R118" s="23" t="s">
        <v>35</v>
      </c>
      <c r="S118" s="23" t="s">
        <v>549</v>
      </c>
      <c r="T118" s="23" t="s">
        <v>37</v>
      </c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1"/>
      <c r="AI118" s="20"/>
      <c r="AJ118" s="20"/>
      <c r="AK118" s="20"/>
      <c r="AL118" s="20"/>
      <c r="AM118" s="20"/>
      <c r="AN118" s="20"/>
      <c r="AO118" s="20"/>
    </row>
    <row r="119" s="17" customFormat="1" customHeight="1" spans="1:41">
      <c r="A119" s="20">
        <v>513</v>
      </c>
      <c r="B119" s="20" t="s">
        <v>506</v>
      </c>
      <c r="C119" s="23" t="s">
        <v>138</v>
      </c>
      <c r="D119" s="23" t="s">
        <v>139</v>
      </c>
      <c r="E119" s="23" t="s">
        <v>23</v>
      </c>
      <c r="F119" s="23" t="s">
        <v>24</v>
      </c>
      <c r="G119" s="23" t="s">
        <v>550</v>
      </c>
      <c r="H119" s="23" t="s">
        <v>551</v>
      </c>
      <c r="I119" s="26" t="s">
        <v>534</v>
      </c>
      <c r="J119" s="23" t="s">
        <v>552</v>
      </c>
      <c r="K119" s="23" t="s">
        <v>553</v>
      </c>
      <c r="L119" s="23" t="s">
        <v>510</v>
      </c>
      <c r="M119" s="25" t="s">
        <v>31</v>
      </c>
      <c r="N119" s="23" t="s">
        <v>32</v>
      </c>
      <c r="O119" s="23" t="s">
        <v>197</v>
      </c>
      <c r="P119" s="27" t="str">
        <f>HYPERLINK("https://ovopark.oss-cn-hangzhou.aliyuncs.com/OVOPARK/2022/06/15/1655281195637657.jpg?x-oss-process=image/resize,w_700,l_700","查看图片")</f>
        <v>查看图片</v>
      </c>
      <c r="Q119" s="23" t="s">
        <v>34</v>
      </c>
      <c r="R119" s="23" t="s">
        <v>35</v>
      </c>
      <c r="S119" s="23" t="s">
        <v>554</v>
      </c>
      <c r="T119" s="23" t="s">
        <v>37</v>
      </c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1"/>
      <c r="AI119" s="20"/>
      <c r="AJ119" s="20"/>
      <c r="AK119" s="20"/>
      <c r="AL119" s="20"/>
      <c r="AM119" s="20"/>
      <c r="AN119" s="20"/>
      <c r="AO119" s="20"/>
    </row>
    <row r="120" s="17" customFormat="1" customHeight="1" spans="1:41">
      <c r="A120" s="20">
        <v>513</v>
      </c>
      <c r="B120" s="20" t="s">
        <v>506</v>
      </c>
      <c r="C120" s="23" t="s">
        <v>138</v>
      </c>
      <c r="D120" s="23" t="s">
        <v>156</v>
      </c>
      <c r="E120" s="23" t="s">
        <v>23</v>
      </c>
      <c r="F120" s="23" t="s">
        <v>24</v>
      </c>
      <c r="G120" s="23" t="s">
        <v>550</v>
      </c>
      <c r="H120" s="23" t="s">
        <v>551</v>
      </c>
      <c r="I120" s="26" t="s">
        <v>534</v>
      </c>
      <c r="J120" s="23" t="s">
        <v>555</v>
      </c>
      <c r="K120" s="23" t="s">
        <v>556</v>
      </c>
      <c r="L120" s="23" t="s">
        <v>510</v>
      </c>
      <c r="M120" s="25" t="s">
        <v>31</v>
      </c>
      <c r="N120" s="23" t="s">
        <v>32</v>
      </c>
      <c r="O120" s="23" t="s">
        <v>197</v>
      </c>
      <c r="P120" s="27" t="str">
        <f>HYPERLINK("https://ovopark.oss-cn-hangzhou.aliyuncs.com/OVOPARK/2022/06/15/1655281195637657.jpg?x-oss-process=image/resize,w_700,l_700","查看图片")</f>
        <v>查看图片</v>
      </c>
      <c r="Q120" s="27" t="str">
        <f>HYPERLINK("http://ovopark.oss-cn-hangzhou.aliyuncs.com/62_1656393167984_5208_345321675271497_.jpg","查看图片")</f>
        <v>查看图片</v>
      </c>
      <c r="R120" s="23" t="s">
        <v>35</v>
      </c>
      <c r="S120" s="23" t="s">
        <v>557</v>
      </c>
      <c r="T120" s="23" t="s">
        <v>37</v>
      </c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1"/>
      <c r="AI120" s="20"/>
      <c r="AJ120" s="20"/>
      <c r="AK120" s="20"/>
      <c r="AL120" s="20"/>
      <c r="AM120" s="20"/>
      <c r="AN120" s="20"/>
      <c r="AO120" s="20"/>
    </row>
    <row r="121" s="17" customFormat="1" customHeight="1" spans="1:41">
      <c r="A121" s="20">
        <v>513</v>
      </c>
      <c r="B121" s="20" t="s">
        <v>506</v>
      </c>
      <c r="C121" s="23" t="s">
        <v>138</v>
      </c>
      <c r="D121" s="23" t="s">
        <v>161</v>
      </c>
      <c r="E121" s="23" t="s">
        <v>23</v>
      </c>
      <c r="F121" s="23" t="s">
        <v>24</v>
      </c>
      <c r="G121" s="23" t="s">
        <v>550</v>
      </c>
      <c r="H121" s="23" t="s">
        <v>551</v>
      </c>
      <c r="I121" s="26" t="s">
        <v>534</v>
      </c>
      <c r="J121" s="23" t="s">
        <v>558</v>
      </c>
      <c r="K121" s="23" t="s">
        <v>559</v>
      </c>
      <c r="L121" s="23" t="s">
        <v>510</v>
      </c>
      <c r="M121" s="25" t="s">
        <v>31</v>
      </c>
      <c r="N121" s="23" t="s">
        <v>32</v>
      </c>
      <c r="O121" s="23" t="s">
        <v>197</v>
      </c>
      <c r="P121" s="27" t="str">
        <f>HYPERLINK("https://ovopark.oss-cn-hangzhou.aliyuncs.com/OVOPARK/2022/06/15/1655281195637657.jpg?x-oss-process=image/resize,w_700,l_700","查看图片")</f>
        <v>查看图片</v>
      </c>
      <c r="Q121" s="27" t="str">
        <f>HYPERLINK("http://ovopark.oss-cn-hangzhou.aliyuncs.com/62_1656393196719_5208_345350469709299_.jpg","查看图片")</f>
        <v>查看图片</v>
      </c>
      <c r="R121" s="23" t="s">
        <v>35</v>
      </c>
      <c r="S121" s="23" t="s">
        <v>560</v>
      </c>
      <c r="T121" s="23" t="s">
        <v>37</v>
      </c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1"/>
      <c r="AI121" s="20"/>
      <c r="AJ121" s="20"/>
      <c r="AK121" s="20"/>
      <c r="AL121" s="20"/>
      <c r="AM121" s="20"/>
      <c r="AN121" s="20"/>
      <c r="AO121" s="20"/>
    </row>
    <row r="122" s="17" customFormat="1" customHeight="1" spans="1:41">
      <c r="A122" s="20">
        <v>513</v>
      </c>
      <c r="B122" s="20" t="s">
        <v>506</v>
      </c>
      <c r="C122" s="23" t="s">
        <v>138</v>
      </c>
      <c r="D122" s="23" t="s">
        <v>257</v>
      </c>
      <c r="E122" s="23" t="s">
        <v>23</v>
      </c>
      <c r="F122" s="23" t="s">
        <v>24</v>
      </c>
      <c r="G122" s="23" t="s">
        <v>561</v>
      </c>
      <c r="H122" s="23" t="s">
        <v>551</v>
      </c>
      <c r="I122" s="26" t="s">
        <v>534</v>
      </c>
      <c r="J122" s="23" t="s">
        <v>562</v>
      </c>
      <c r="K122" s="23" t="s">
        <v>563</v>
      </c>
      <c r="L122" s="23" t="s">
        <v>510</v>
      </c>
      <c r="M122" s="25" t="s">
        <v>31</v>
      </c>
      <c r="N122" s="23" t="s">
        <v>32</v>
      </c>
      <c r="O122" s="23" t="s">
        <v>197</v>
      </c>
      <c r="P122" s="23" t="s">
        <v>34</v>
      </c>
      <c r="Q122" s="27" t="str">
        <f>HYPERLINK("http://ovopark.oss-cn-hangzhou.aliyuncs.com/62_1656393131446_5208_345285190658386_.jpg","查看图片")</f>
        <v>查看图片</v>
      </c>
      <c r="R122" s="23" t="s">
        <v>35</v>
      </c>
      <c r="S122" s="23" t="s">
        <v>564</v>
      </c>
      <c r="T122" s="23" t="s">
        <v>37</v>
      </c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1"/>
      <c r="AI122" s="20"/>
      <c r="AJ122" s="20"/>
      <c r="AK122" s="20"/>
      <c r="AL122" s="20"/>
      <c r="AM122" s="20"/>
      <c r="AN122" s="20"/>
      <c r="AO122" s="20"/>
    </row>
    <row r="123" s="17" customFormat="1" customHeight="1" spans="1:41">
      <c r="A123" s="20">
        <v>359</v>
      </c>
      <c r="B123" s="20" t="s">
        <v>565</v>
      </c>
      <c r="C123" s="23" t="s">
        <v>21</v>
      </c>
      <c r="D123" s="23" t="s">
        <v>22</v>
      </c>
      <c r="E123" s="23" t="s">
        <v>23</v>
      </c>
      <c r="F123" s="23" t="s">
        <v>24</v>
      </c>
      <c r="G123" s="23" t="s">
        <v>566</v>
      </c>
      <c r="H123" s="23" t="s">
        <v>567</v>
      </c>
      <c r="I123" s="26" t="s">
        <v>568</v>
      </c>
      <c r="J123" s="23" t="s">
        <v>569</v>
      </c>
      <c r="K123" s="23" t="s">
        <v>570</v>
      </c>
      <c r="L123" s="23" t="s">
        <v>571</v>
      </c>
      <c r="M123" s="25" t="s">
        <v>31</v>
      </c>
      <c r="N123" s="23" t="s">
        <v>32</v>
      </c>
      <c r="O123" s="23" t="s">
        <v>197</v>
      </c>
      <c r="P123" s="23" t="s">
        <v>34</v>
      </c>
      <c r="Q123" s="27" t="str">
        <f>HYPERLINK("http://ovopark.oss-cn-hangzhou.aliyuncs.com/5911_105023915839427_image_1656251604858.jpg","查看图片")</f>
        <v>查看图片</v>
      </c>
      <c r="R123" s="23" t="s">
        <v>35</v>
      </c>
      <c r="S123" s="23" t="s">
        <v>572</v>
      </c>
      <c r="T123" s="23" t="s">
        <v>37</v>
      </c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1"/>
      <c r="AI123" s="20"/>
      <c r="AJ123" s="20"/>
      <c r="AK123" s="20"/>
      <c r="AL123" s="20"/>
      <c r="AM123" s="20"/>
      <c r="AN123" s="20"/>
      <c r="AO123" s="20"/>
    </row>
    <row r="124" s="17" customFormat="1" customHeight="1" spans="1:41">
      <c r="A124" s="20">
        <v>359</v>
      </c>
      <c r="B124" s="20" t="s">
        <v>565</v>
      </c>
      <c r="C124" s="23" t="s">
        <v>138</v>
      </c>
      <c r="D124" s="23" t="s">
        <v>168</v>
      </c>
      <c r="E124" s="23" t="s">
        <v>23</v>
      </c>
      <c r="F124" s="23" t="s">
        <v>24</v>
      </c>
      <c r="G124" s="23" t="s">
        <v>573</v>
      </c>
      <c r="H124" s="23" t="s">
        <v>241</v>
      </c>
      <c r="I124" s="26" t="s">
        <v>130</v>
      </c>
      <c r="J124" s="23" t="s">
        <v>574</v>
      </c>
      <c r="K124" s="23" t="s">
        <v>575</v>
      </c>
      <c r="L124" s="23" t="s">
        <v>571</v>
      </c>
      <c r="M124" s="25" t="s">
        <v>31</v>
      </c>
      <c r="N124" s="23" t="s">
        <v>32</v>
      </c>
      <c r="O124" s="23" t="s">
        <v>197</v>
      </c>
      <c r="P124" s="23" t="s">
        <v>34</v>
      </c>
      <c r="Q124" s="27" t="str">
        <f>HYPERLINK("http://ovopark.oss-cn-hangzhou.aliyuncs.com/5911_105057198013211_image_1656251638721.jpg","查看图片")</f>
        <v>查看图片</v>
      </c>
      <c r="R124" s="23" t="s">
        <v>35</v>
      </c>
      <c r="S124" s="23" t="s">
        <v>576</v>
      </c>
      <c r="T124" s="23" t="s">
        <v>37</v>
      </c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1"/>
      <c r="AI124" s="20"/>
      <c r="AJ124" s="20"/>
      <c r="AK124" s="20"/>
      <c r="AL124" s="20"/>
      <c r="AM124" s="20"/>
      <c r="AN124" s="20"/>
      <c r="AO124" s="20"/>
    </row>
    <row r="125" s="17" customFormat="1" customHeight="1" spans="1:41">
      <c r="A125" s="20">
        <v>359</v>
      </c>
      <c r="B125" s="20" t="s">
        <v>565</v>
      </c>
      <c r="C125" s="23" t="s">
        <v>138</v>
      </c>
      <c r="D125" s="23" t="s">
        <v>147</v>
      </c>
      <c r="E125" s="23" t="s">
        <v>23</v>
      </c>
      <c r="F125" s="23" t="s">
        <v>24</v>
      </c>
      <c r="G125" s="23" t="s">
        <v>577</v>
      </c>
      <c r="H125" s="23" t="s">
        <v>241</v>
      </c>
      <c r="I125" s="26" t="s">
        <v>130</v>
      </c>
      <c r="J125" s="23" t="s">
        <v>578</v>
      </c>
      <c r="K125" s="23" t="s">
        <v>579</v>
      </c>
      <c r="L125" s="23" t="s">
        <v>571</v>
      </c>
      <c r="M125" s="25" t="s">
        <v>31</v>
      </c>
      <c r="N125" s="23" t="s">
        <v>32</v>
      </c>
      <c r="O125" s="23" t="s">
        <v>197</v>
      </c>
      <c r="P125" s="23" t="s">
        <v>34</v>
      </c>
      <c r="Q125" s="27" t="str">
        <f>HYPERLINK("http://ovopark.oss-cn-hangzhou.aliyuncs.com/5911_105086023171968_image_1656251668754.jpg","查看图片")</f>
        <v>查看图片</v>
      </c>
      <c r="R125" s="23" t="s">
        <v>35</v>
      </c>
      <c r="S125" s="23" t="s">
        <v>580</v>
      </c>
      <c r="T125" s="23" t="s">
        <v>37</v>
      </c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1"/>
      <c r="AI125" s="20"/>
      <c r="AJ125" s="20"/>
      <c r="AK125" s="20"/>
      <c r="AL125" s="20"/>
      <c r="AM125" s="20"/>
      <c r="AN125" s="20"/>
      <c r="AO125" s="20"/>
    </row>
    <row r="126" s="17" customFormat="1" customHeight="1" spans="1:41">
      <c r="A126" s="20">
        <v>359</v>
      </c>
      <c r="B126" s="20" t="s">
        <v>565</v>
      </c>
      <c r="C126" s="23" t="s">
        <v>138</v>
      </c>
      <c r="D126" s="23" t="s">
        <v>152</v>
      </c>
      <c r="E126" s="23" t="s">
        <v>23</v>
      </c>
      <c r="F126" s="23" t="s">
        <v>24</v>
      </c>
      <c r="G126" s="23" t="s">
        <v>577</v>
      </c>
      <c r="H126" s="23" t="s">
        <v>241</v>
      </c>
      <c r="I126" s="26" t="s">
        <v>130</v>
      </c>
      <c r="J126" s="23" t="s">
        <v>581</v>
      </c>
      <c r="K126" s="23" t="s">
        <v>582</v>
      </c>
      <c r="L126" s="23" t="s">
        <v>571</v>
      </c>
      <c r="M126" s="25" t="s">
        <v>31</v>
      </c>
      <c r="N126" s="23" t="s">
        <v>32</v>
      </c>
      <c r="O126" s="23" t="s">
        <v>197</v>
      </c>
      <c r="P126" s="23" t="s">
        <v>34</v>
      </c>
      <c r="Q126" s="23" t="s">
        <v>34</v>
      </c>
      <c r="R126" s="23" t="s">
        <v>35</v>
      </c>
      <c r="S126" s="23" t="s">
        <v>583</v>
      </c>
      <c r="T126" s="23" t="s">
        <v>37</v>
      </c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1"/>
      <c r="AI126" s="20"/>
      <c r="AJ126" s="20"/>
      <c r="AK126" s="20"/>
      <c r="AL126" s="20"/>
      <c r="AM126" s="20"/>
      <c r="AN126" s="20"/>
      <c r="AO126" s="20"/>
    </row>
    <row r="127" s="17" customFormat="1" customHeight="1" spans="1:41">
      <c r="A127" s="20">
        <v>359</v>
      </c>
      <c r="B127" s="20" t="s">
        <v>565</v>
      </c>
      <c r="C127" s="23" t="s">
        <v>138</v>
      </c>
      <c r="D127" s="23" t="s">
        <v>156</v>
      </c>
      <c r="E127" s="23" t="s">
        <v>23</v>
      </c>
      <c r="F127" s="23" t="s">
        <v>24</v>
      </c>
      <c r="G127" s="23" t="s">
        <v>584</v>
      </c>
      <c r="H127" s="23" t="s">
        <v>241</v>
      </c>
      <c r="I127" s="26" t="s">
        <v>130</v>
      </c>
      <c r="J127" s="23" t="s">
        <v>585</v>
      </c>
      <c r="K127" s="23" t="s">
        <v>586</v>
      </c>
      <c r="L127" s="23" t="s">
        <v>571</v>
      </c>
      <c r="M127" s="25" t="s">
        <v>31</v>
      </c>
      <c r="N127" s="23" t="s">
        <v>32</v>
      </c>
      <c r="O127" s="23" t="s">
        <v>197</v>
      </c>
      <c r="P127" s="23" t="s">
        <v>34</v>
      </c>
      <c r="Q127" s="27" t="str">
        <f>HYPERLINK("http://ovopark.oss-cn-hangzhou.aliyuncs.com/5911_105135373143186_image_1656251716970.jpg","查看图片")</f>
        <v>查看图片</v>
      </c>
      <c r="R127" s="23" t="s">
        <v>35</v>
      </c>
      <c r="S127" s="23" t="s">
        <v>587</v>
      </c>
      <c r="T127" s="23" t="s">
        <v>37</v>
      </c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1"/>
      <c r="AI127" s="20"/>
      <c r="AJ127" s="20"/>
      <c r="AK127" s="20"/>
      <c r="AL127" s="20"/>
      <c r="AM127" s="20"/>
      <c r="AN127" s="20"/>
      <c r="AO127" s="20"/>
    </row>
    <row r="128" s="17" customFormat="1" customHeight="1" spans="1:41">
      <c r="A128" s="20">
        <v>359</v>
      </c>
      <c r="B128" s="20" t="s">
        <v>565</v>
      </c>
      <c r="C128" s="23" t="s">
        <v>138</v>
      </c>
      <c r="D128" s="23" t="s">
        <v>161</v>
      </c>
      <c r="E128" s="23" t="s">
        <v>23</v>
      </c>
      <c r="F128" s="23" t="s">
        <v>24</v>
      </c>
      <c r="G128" s="23" t="s">
        <v>584</v>
      </c>
      <c r="H128" s="23" t="s">
        <v>241</v>
      </c>
      <c r="I128" s="26" t="s">
        <v>130</v>
      </c>
      <c r="J128" s="23" t="s">
        <v>588</v>
      </c>
      <c r="K128" s="23" t="s">
        <v>589</v>
      </c>
      <c r="L128" s="23" t="s">
        <v>571</v>
      </c>
      <c r="M128" s="25" t="s">
        <v>31</v>
      </c>
      <c r="N128" s="23" t="s">
        <v>32</v>
      </c>
      <c r="O128" s="23" t="s">
        <v>197</v>
      </c>
      <c r="P128" s="23" t="s">
        <v>34</v>
      </c>
      <c r="Q128" s="27" t="str">
        <f>HYPERLINK("http://ovopark.oss-cn-hangzhou.aliyuncs.com/5911_105153446715039_image_1656251734649.jpg","查看图片")</f>
        <v>查看图片</v>
      </c>
      <c r="R128" s="23" t="s">
        <v>35</v>
      </c>
      <c r="S128" s="23" t="s">
        <v>590</v>
      </c>
      <c r="T128" s="23" t="s">
        <v>37</v>
      </c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1"/>
      <c r="AI128" s="20"/>
      <c r="AJ128" s="20"/>
      <c r="AK128" s="20"/>
      <c r="AL128" s="20"/>
      <c r="AM128" s="20"/>
      <c r="AN128" s="20"/>
      <c r="AO128" s="20"/>
    </row>
    <row r="129" s="17" customFormat="1" customHeight="1" spans="1:41">
      <c r="A129" s="20">
        <v>359</v>
      </c>
      <c r="B129" s="20" t="s">
        <v>565</v>
      </c>
      <c r="C129" s="23" t="s">
        <v>138</v>
      </c>
      <c r="D129" s="23" t="s">
        <v>139</v>
      </c>
      <c r="E129" s="23" t="s">
        <v>23</v>
      </c>
      <c r="F129" s="23" t="s">
        <v>24</v>
      </c>
      <c r="G129" s="23" t="s">
        <v>584</v>
      </c>
      <c r="H129" s="23" t="s">
        <v>241</v>
      </c>
      <c r="I129" s="26" t="s">
        <v>130</v>
      </c>
      <c r="J129" s="23" t="s">
        <v>591</v>
      </c>
      <c r="K129" s="23" t="s">
        <v>592</v>
      </c>
      <c r="L129" s="23" t="s">
        <v>571</v>
      </c>
      <c r="M129" s="25" t="s">
        <v>31</v>
      </c>
      <c r="N129" s="23" t="s">
        <v>32</v>
      </c>
      <c r="O129" s="23" t="s">
        <v>197</v>
      </c>
      <c r="P129" s="23" t="s">
        <v>34</v>
      </c>
      <c r="Q129" s="27" t="str">
        <f>HYPERLINK("http://ovopark.oss-cn-hangzhou.aliyuncs.com/5911_105185264693938_image_1656251767255.jpg","查看图片")</f>
        <v>查看图片</v>
      </c>
      <c r="R129" s="23" t="s">
        <v>35</v>
      </c>
      <c r="S129" s="23" t="s">
        <v>593</v>
      </c>
      <c r="T129" s="23" t="s">
        <v>37</v>
      </c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1"/>
      <c r="AI129" s="20"/>
      <c r="AJ129" s="20"/>
      <c r="AK129" s="20"/>
      <c r="AL129" s="20"/>
      <c r="AM129" s="20"/>
      <c r="AN129" s="20"/>
      <c r="AO129" s="20"/>
    </row>
    <row r="130" s="17" customFormat="1" customHeight="1" spans="1:41">
      <c r="A130" s="20">
        <v>359</v>
      </c>
      <c r="B130" s="20" t="s">
        <v>565</v>
      </c>
      <c r="C130" s="23" t="s">
        <v>21</v>
      </c>
      <c r="D130" s="23" t="s">
        <v>22</v>
      </c>
      <c r="E130" s="23" t="s">
        <v>23</v>
      </c>
      <c r="F130" s="23" t="s">
        <v>24</v>
      </c>
      <c r="G130" s="23" t="s">
        <v>594</v>
      </c>
      <c r="H130" s="23" t="s">
        <v>534</v>
      </c>
      <c r="I130" s="26" t="s">
        <v>241</v>
      </c>
      <c r="J130" s="23" t="s">
        <v>595</v>
      </c>
      <c r="K130" s="23" t="s">
        <v>596</v>
      </c>
      <c r="L130" s="23" t="s">
        <v>571</v>
      </c>
      <c r="M130" s="25" t="s">
        <v>31</v>
      </c>
      <c r="N130" s="23" t="s">
        <v>32</v>
      </c>
      <c r="O130" s="23" t="s">
        <v>197</v>
      </c>
      <c r="P130" s="23" t="s">
        <v>34</v>
      </c>
      <c r="Q130" s="27" t="str">
        <f>HYPERLINK("http://ovopark.oss-cn-hangzhou.aliyuncs.com/5911_105236186093750_image_1656251819444.jpg","查看图片")</f>
        <v>查看图片</v>
      </c>
      <c r="R130" s="23" t="s">
        <v>35</v>
      </c>
      <c r="S130" s="23" t="s">
        <v>597</v>
      </c>
      <c r="T130" s="23" t="s">
        <v>37</v>
      </c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1"/>
      <c r="AI130" s="20"/>
      <c r="AJ130" s="20"/>
      <c r="AK130" s="20"/>
      <c r="AL130" s="20"/>
      <c r="AM130" s="20"/>
      <c r="AN130" s="20"/>
      <c r="AO130" s="20"/>
    </row>
    <row r="131" s="17" customFormat="1" customHeight="1" spans="1:41">
      <c r="A131" s="20">
        <v>359</v>
      </c>
      <c r="B131" s="20" t="s">
        <v>565</v>
      </c>
      <c r="C131" s="23" t="s">
        <v>138</v>
      </c>
      <c r="D131" s="23" t="s">
        <v>174</v>
      </c>
      <c r="E131" s="23" t="s">
        <v>23</v>
      </c>
      <c r="F131" s="23" t="s">
        <v>24</v>
      </c>
      <c r="G131" s="23" t="s">
        <v>598</v>
      </c>
      <c r="H131" s="23" t="s">
        <v>539</v>
      </c>
      <c r="I131" s="26" t="s">
        <v>540</v>
      </c>
      <c r="J131" s="23" t="s">
        <v>599</v>
      </c>
      <c r="K131" s="23" t="s">
        <v>600</v>
      </c>
      <c r="L131" s="23" t="s">
        <v>571</v>
      </c>
      <c r="M131" s="25" t="s">
        <v>31</v>
      </c>
      <c r="N131" s="23" t="s">
        <v>32</v>
      </c>
      <c r="O131" s="23" t="s">
        <v>197</v>
      </c>
      <c r="P131" s="23" t="s">
        <v>34</v>
      </c>
      <c r="Q131" s="27" t="str">
        <f>HYPERLINK("http://ovopark.oss-cn-hangzhou.aliyuncs.com/5911_105259344332099_image_1656251840691.jpg","查看图片")</f>
        <v>查看图片</v>
      </c>
      <c r="R131" s="23" t="s">
        <v>35</v>
      </c>
      <c r="S131" s="23" t="s">
        <v>601</v>
      </c>
      <c r="T131" s="23" t="s">
        <v>37</v>
      </c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1"/>
      <c r="AI131" s="20"/>
      <c r="AJ131" s="20"/>
      <c r="AK131" s="20"/>
      <c r="AL131" s="20"/>
      <c r="AM131" s="20"/>
      <c r="AN131" s="20"/>
      <c r="AO131" s="20"/>
    </row>
    <row r="132" s="17" customFormat="1" customHeight="1" spans="1:41">
      <c r="A132" s="20">
        <v>359</v>
      </c>
      <c r="B132" s="20" t="s">
        <v>565</v>
      </c>
      <c r="C132" s="23" t="s">
        <v>138</v>
      </c>
      <c r="D132" s="23" t="s">
        <v>179</v>
      </c>
      <c r="E132" s="23" t="s">
        <v>23</v>
      </c>
      <c r="F132" s="23" t="s">
        <v>24</v>
      </c>
      <c r="G132" s="23" t="s">
        <v>598</v>
      </c>
      <c r="H132" s="23" t="s">
        <v>539</v>
      </c>
      <c r="I132" s="26" t="s">
        <v>540</v>
      </c>
      <c r="J132" s="23" t="s">
        <v>602</v>
      </c>
      <c r="K132" s="23" t="s">
        <v>603</v>
      </c>
      <c r="L132" s="23" t="s">
        <v>571</v>
      </c>
      <c r="M132" s="25" t="s">
        <v>31</v>
      </c>
      <c r="N132" s="23" t="s">
        <v>32</v>
      </c>
      <c r="O132" s="23" t="s">
        <v>197</v>
      </c>
      <c r="P132" s="23" t="s">
        <v>34</v>
      </c>
      <c r="Q132" s="27" t="str">
        <f>HYPERLINK("http://ovopark.oss-cn-hangzhou.aliyuncs.com/5911_105286529251734_image_1656251870080.jpg","查看图片")</f>
        <v>查看图片</v>
      </c>
      <c r="R132" s="23" t="s">
        <v>35</v>
      </c>
      <c r="S132" s="23" t="s">
        <v>604</v>
      </c>
      <c r="T132" s="23" t="s">
        <v>37</v>
      </c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1"/>
      <c r="AI132" s="20"/>
      <c r="AJ132" s="20"/>
      <c r="AK132" s="20"/>
      <c r="AL132" s="20"/>
      <c r="AM132" s="20"/>
      <c r="AN132" s="20"/>
      <c r="AO132" s="20"/>
    </row>
    <row r="133" s="17" customFormat="1" customHeight="1" spans="1:41">
      <c r="A133" s="20">
        <v>359</v>
      </c>
      <c r="B133" s="20" t="s">
        <v>565</v>
      </c>
      <c r="C133" s="23" t="s">
        <v>138</v>
      </c>
      <c r="D133" s="23" t="s">
        <v>183</v>
      </c>
      <c r="E133" s="23" t="s">
        <v>23</v>
      </c>
      <c r="F133" s="23" t="s">
        <v>24</v>
      </c>
      <c r="G133" s="23" t="s">
        <v>598</v>
      </c>
      <c r="H133" s="23" t="s">
        <v>539</v>
      </c>
      <c r="I133" s="26" t="s">
        <v>540</v>
      </c>
      <c r="J133" s="23" t="s">
        <v>605</v>
      </c>
      <c r="K133" s="23" t="s">
        <v>606</v>
      </c>
      <c r="L133" s="23" t="s">
        <v>571</v>
      </c>
      <c r="M133" s="25" t="s">
        <v>31</v>
      </c>
      <c r="N133" s="23" t="s">
        <v>32</v>
      </c>
      <c r="O133" s="23" t="s">
        <v>197</v>
      </c>
      <c r="P133" s="23" t="s">
        <v>34</v>
      </c>
      <c r="Q133" s="23" t="s">
        <v>34</v>
      </c>
      <c r="R133" s="23" t="s">
        <v>35</v>
      </c>
      <c r="S133" s="23" t="s">
        <v>607</v>
      </c>
      <c r="T133" s="23" t="s">
        <v>37</v>
      </c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1"/>
      <c r="AI133" s="20"/>
      <c r="AJ133" s="20"/>
      <c r="AK133" s="20"/>
      <c r="AL133" s="20"/>
      <c r="AM133" s="20"/>
      <c r="AN133" s="20"/>
      <c r="AO133" s="20"/>
    </row>
    <row r="134" s="17" customFormat="1" customHeight="1" spans="1:41">
      <c r="A134" s="20">
        <v>359</v>
      </c>
      <c r="B134" s="20" t="s">
        <v>565</v>
      </c>
      <c r="C134" s="23" t="s">
        <v>138</v>
      </c>
      <c r="D134" s="23" t="s">
        <v>257</v>
      </c>
      <c r="E134" s="23" t="s">
        <v>23</v>
      </c>
      <c r="F134" s="23" t="s">
        <v>24</v>
      </c>
      <c r="G134" s="23" t="s">
        <v>608</v>
      </c>
      <c r="H134" s="23" t="s">
        <v>551</v>
      </c>
      <c r="I134" s="26" t="s">
        <v>534</v>
      </c>
      <c r="J134" s="23" t="s">
        <v>609</v>
      </c>
      <c r="K134" s="23" t="s">
        <v>610</v>
      </c>
      <c r="L134" s="23" t="s">
        <v>571</v>
      </c>
      <c r="M134" s="25" t="s">
        <v>31</v>
      </c>
      <c r="N134" s="23" t="s">
        <v>32</v>
      </c>
      <c r="O134" s="23" t="s">
        <v>197</v>
      </c>
      <c r="P134" s="23" t="s">
        <v>34</v>
      </c>
      <c r="Q134" s="27" t="str">
        <f>HYPERLINK("http://ovopark.oss-cn-hangzhou.aliyuncs.com/5911_105410887103289_image_1656251803179.jpg","查看图片")</f>
        <v>查看图片</v>
      </c>
      <c r="R134" s="23" t="s">
        <v>35</v>
      </c>
      <c r="S134" s="23" t="s">
        <v>611</v>
      </c>
      <c r="T134" s="23" t="s">
        <v>37</v>
      </c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1"/>
      <c r="AI134" s="20"/>
      <c r="AJ134" s="20"/>
      <c r="AK134" s="20"/>
      <c r="AL134" s="20"/>
      <c r="AM134" s="20"/>
      <c r="AN134" s="20"/>
      <c r="AO134" s="20"/>
    </row>
    <row r="135" s="17" customFormat="1" customHeight="1" spans="1:41">
      <c r="A135" s="20">
        <v>359</v>
      </c>
      <c r="B135" s="20" t="s">
        <v>565</v>
      </c>
      <c r="C135" s="23" t="s">
        <v>138</v>
      </c>
      <c r="D135" s="23" t="s">
        <v>156</v>
      </c>
      <c r="E135" s="23" t="s">
        <v>23</v>
      </c>
      <c r="F135" s="23" t="s">
        <v>24</v>
      </c>
      <c r="G135" s="23" t="s">
        <v>612</v>
      </c>
      <c r="H135" s="23" t="s">
        <v>551</v>
      </c>
      <c r="I135" s="26" t="s">
        <v>534</v>
      </c>
      <c r="J135" s="23" t="s">
        <v>613</v>
      </c>
      <c r="K135" s="23" t="s">
        <v>614</v>
      </c>
      <c r="L135" s="23" t="s">
        <v>571</v>
      </c>
      <c r="M135" s="25" t="s">
        <v>31</v>
      </c>
      <c r="N135" s="23" t="s">
        <v>32</v>
      </c>
      <c r="O135" s="23" t="s">
        <v>197</v>
      </c>
      <c r="P135" s="23" t="s">
        <v>34</v>
      </c>
      <c r="Q135" s="27" t="str">
        <f>HYPERLINK("http://ovopark.oss-cn-hangzhou.aliyuncs.com/5911_105422404522926_image_1656251716970.jpg","查看图片")</f>
        <v>查看图片</v>
      </c>
      <c r="R135" s="23" t="s">
        <v>35</v>
      </c>
      <c r="S135" s="23" t="s">
        <v>615</v>
      </c>
      <c r="T135" s="23" t="s">
        <v>37</v>
      </c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1"/>
      <c r="AI135" s="20"/>
      <c r="AJ135" s="20"/>
      <c r="AK135" s="20"/>
      <c r="AL135" s="20"/>
      <c r="AM135" s="20"/>
      <c r="AN135" s="20"/>
      <c r="AO135" s="20"/>
    </row>
    <row r="136" s="17" customFormat="1" customHeight="1" spans="1:41">
      <c r="A136" s="20">
        <v>359</v>
      </c>
      <c r="B136" s="20" t="s">
        <v>565</v>
      </c>
      <c r="C136" s="23" t="s">
        <v>138</v>
      </c>
      <c r="D136" s="23" t="s">
        <v>161</v>
      </c>
      <c r="E136" s="23" t="s">
        <v>23</v>
      </c>
      <c r="F136" s="23" t="s">
        <v>24</v>
      </c>
      <c r="G136" s="23" t="s">
        <v>612</v>
      </c>
      <c r="H136" s="23" t="s">
        <v>551</v>
      </c>
      <c r="I136" s="26" t="s">
        <v>534</v>
      </c>
      <c r="J136" s="23" t="s">
        <v>616</v>
      </c>
      <c r="K136" s="23" t="s">
        <v>617</v>
      </c>
      <c r="L136" s="23" t="s">
        <v>571</v>
      </c>
      <c r="M136" s="25" t="s">
        <v>31</v>
      </c>
      <c r="N136" s="23" t="s">
        <v>32</v>
      </c>
      <c r="O136" s="23" t="s">
        <v>197</v>
      </c>
      <c r="P136" s="23" t="s">
        <v>34</v>
      </c>
      <c r="Q136" s="27" t="str">
        <f>HYPERLINK("http://ovopark.oss-cn-hangzhou.aliyuncs.com/5911_105434358035992_image_1656251734649.jpg","查看图片")</f>
        <v>查看图片</v>
      </c>
      <c r="R136" s="23" t="s">
        <v>35</v>
      </c>
      <c r="S136" s="23" t="s">
        <v>618</v>
      </c>
      <c r="T136" s="23" t="s">
        <v>37</v>
      </c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1"/>
      <c r="AI136" s="20"/>
      <c r="AJ136" s="20"/>
      <c r="AK136" s="20"/>
      <c r="AL136" s="20"/>
      <c r="AM136" s="20"/>
      <c r="AN136" s="20"/>
      <c r="AO136" s="20"/>
    </row>
    <row r="137" s="17" customFormat="1" customHeight="1" spans="1:41">
      <c r="A137" s="20">
        <v>111219</v>
      </c>
      <c r="B137" s="20" t="s">
        <v>191</v>
      </c>
      <c r="C137" s="23" t="s">
        <v>138</v>
      </c>
      <c r="D137" s="23" t="s">
        <v>168</v>
      </c>
      <c r="E137" s="23" t="s">
        <v>23</v>
      </c>
      <c r="F137" s="23" t="s">
        <v>24</v>
      </c>
      <c r="G137" s="23" t="s">
        <v>619</v>
      </c>
      <c r="H137" s="23" t="s">
        <v>241</v>
      </c>
      <c r="I137" s="26" t="s">
        <v>130</v>
      </c>
      <c r="J137" s="23" t="s">
        <v>620</v>
      </c>
      <c r="K137" s="23" t="s">
        <v>621</v>
      </c>
      <c r="L137" s="23" t="s">
        <v>196</v>
      </c>
      <c r="M137" s="25" t="s">
        <v>31</v>
      </c>
      <c r="N137" s="23" t="s">
        <v>32</v>
      </c>
      <c r="O137" s="23" t="s">
        <v>197</v>
      </c>
      <c r="P137" s="23" t="s">
        <v>34</v>
      </c>
      <c r="Q137" s="23" t="s">
        <v>34</v>
      </c>
      <c r="R137" s="23" t="s">
        <v>35</v>
      </c>
      <c r="S137" s="23" t="s">
        <v>622</v>
      </c>
      <c r="T137" s="23" t="s">
        <v>37</v>
      </c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1"/>
      <c r="AI137" s="20"/>
      <c r="AJ137" s="20"/>
      <c r="AK137" s="20"/>
      <c r="AL137" s="20"/>
      <c r="AM137" s="20"/>
      <c r="AN137" s="20"/>
      <c r="AO137" s="20"/>
    </row>
    <row r="138" s="17" customFormat="1" customHeight="1" spans="1:41">
      <c r="A138" s="20">
        <v>111219</v>
      </c>
      <c r="B138" s="20" t="s">
        <v>191</v>
      </c>
      <c r="C138" s="23" t="s">
        <v>138</v>
      </c>
      <c r="D138" s="23" t="s">
        <v>147</v>
      </c>
      <c r="E138" s="23" t="s">
        <v>23</v>
      </c>
      <c r="F138" s="23" t="s">
        <v>24</v>
      </c>
      <c r="G138" s="23" t="s">
        <v>623</v>
      </c>
      <c r="H138" s="23" t="s">
        <v>241</v>
      </c>
      <c r="I138" s="26" t="s">
        <v>130</v>
      </c>
      <c r="J138" s="23" t="s">
        <v>624</v>
      </c>
      <c r="K138" s="23" t="s">
        <v>625</v>
      </c>
      <c r="L138" s="23" t="s">
        <v>196</v>
      </c>
      <c r="M138" s="25" t="s">
        <v>31</v>
      </c>
      <c r="N138" s="23" t="s">
        <v>32</v>
      </c>
      <c r="O138" s="23" t="s">
        <v>197</v>
      </c>
      <c r="P138" s="23" t="s">
        <v>34</v>
      </c>
      <c r="Q138" s="23" t="s">
        <v>34</v>
      </c>
      <c r="R138" s="23" t="s">
        <v>35</v>
      </c>
      <c r="S138" s="23" t="s">
        <v>626</v>
      </c>
      <c r="T138" s="23" t="s">
        <v>37</v>
      </c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1"/>
      <c r="AI138" s="20"/>
      <c r="AJ138" s="20"/>
      <c r="AK138" s="20"/>
      <c r="AL138" s="20"/>
      <c r="AM138" s="20"/>
      <c r="AN138" s="20"/>
      <c r="AO138" s="20"/>
    </row>
    <row r="139" s="17" customFormat="1" customHeight="1" spans="1:41">
      <c r="A139" s="20">
        <v>111219</v>
      </c>
      <c r="B139" s="20" t="s">
        <v>191</v>
      </c>
      <c r="C139" s="23" t="s">
        <v>138</v>
      </c>
      <c r="D139" s="23" t="s">
        <v>152</v>
      </c>
      <c r="E139" s="23" t="s">
        <v>23</v>
      </c>
      <c r="F139" s="23" t="s">
        <v>24</v>
      </c>
      <c r="G139" s="23" t="s">
        <v>623</v>
      </c>
      <c r="H139" s="23" t="s">
        <v>241</v>
      </c>
      <c r="I139" s="26" t="s">
        <v>130</v>
      </c>
      <c r="J139" s="23" t="s">
        <v>627</v>
      </c>
      <c r="K139" s="23" t="s">
        <v>628</v>
      </c>
      <c r="L139" s="23" t="s">
        <v>196</v>
      </c>
      <c r="M139" s="25" t="s">
        <v>31</v>
      </c>
      <c r="N139" s="23" t="s">
        <v>32</v>
      </c>
      <c r="O139" s="23" t="s">
        <v>197</v>
      </c>
      <c r="P139" s="23" t="s">
        <v>34</v>
      </c>
      <c r="Q139" s="23" t="s">
        <v>34</v>
      </c>
      <c r="R139" s="23" t="s">
        <v>35</v>
      </c>
      <c r="S139" s="23" t="s">
        <v>629</v>
      </c>
      <c r="T139" s="23" t="s">
        <v>37</v>
      </c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1"/>
      <c r="AI139" s="20"/>
      <c r="AJ139" s="20"/>
      <c r="AK139" s="20"/>
      <c r="AL139" s="20"/>
      <c r="AM139" s="20"/>
      <c r="AN139" s="20"/>
      <c r="AO139" s="20"/>
    </row>
    <row r="140" s="17" customFormat="1" customHeight="1" spans="1:41">
      <c r="A140" s="20">
        <v>111219</v>
      </c>
      <c r="B140" s="20" t="s">
        <v>191</v>
      </c>
      <c r="C140" s="23" t="s">
        <v>138</v>
      </c>
      <c r="D140" s="23" t="s">
        <v>156</v>
      </c>
      <c r="E140" s="23" t="s">
        <v>23</v>
      </c>
      <c r="F140" s="23" t="s">
        <v>24</v>
      </c>
      <c r="G140" s="23" t="s">
        <v>630</v>
      </c>
      <c r="H140" s="23" t="s">
        <v>241</v>
      </c>
      <c r="I140" s="26" t="s">
        <v>130</v>
      </c>
      <c r="J140" s="23" t="s">
        <v>631</v>
      </c>
      <c r="K140" s="23" t="s">
        <v>632</v>
      </c>
      <c r="L140" s="23" t="s">
        <v>196</v>
      </c>
      <c r="M140" s="25" t="s">
        <v>31</v>
      </c>
      <c r="N140" s="23" t="s">
        <v>32</v>
      </c>
      <c r="O140" s="23" t="s">
        <v>197</v>
      </c>
      <c r="P140" s="23" t="s">
        <v>34</v>
      </c>
      <c r="Q140" s="23" t="s">
        <v>34</v>
      </c>
      <c r="R140" s="23" t="s">
        <v>35</v>
      </c>
      <c r="S140" s="23" t="s">
        <v>633</v>
      </c>
      <c r="T140" s="23" t="s">
        <v>37</v>
      </c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1"/>
      <c r="AI140" s="20"/>
      <c r="AJ140" s="20"/>
      <c r="AK140" s="20"/>
      <c r="AL140" s="20"/>
      <c r="AM140" s="20"/>
      <c r="AN140" s="20"/>
      <c r="AO140" s="20"/>
    </row>
    <row r="141" s="17" customFormat="1" customHeight="1" spans="1:41">
      <c r="A141" s="20">
        <v>111219</v>
      </c>
      <c r="B141" s="20" t="s">
        <v>191</v>
      </c>
      <c r="C141" s="23" t="s">
        <v>138</v>
      </c>
      <c r="D141" s="23" t="s">
        <v>161</v>
      </c>
      <c r="E141" s="23" t="s">
        <v>23</v>
      </c>
      <c r="F141" s="23" t="s">
        <v>24</v>
      </c>
      <c r="G141" s="23" t="s">
        <v>630</v>
      </c>
      <c r="H141" s="23" t="s">
        <v>241</v>
      </c>
      <c r="I141" s="26" t="s">
        <v>130</v>
      </c>
      <c r="J141" s="23" t="s">
        <v>634</v>
      </c>
      <c r="K141" s="23" t="s">
        <v>635</v>
      </c>
      <c r="L141" s="23" t="s">
        <v>196</v>
      </c>
      <c r="M141" s="25" t="s">
        <v>31</v>
      </c>
      <c r="N141" s="23" t="s">
        <v>32</v>
      </c>
      <c r="O141" s="23" t="s">
        <v>197</v>
      </c>
      <c r="P141" s="23" t="s">
        <v>34</v>
      </c>
      <c r="Q141" s="23" t="s">
        <v>34</v>
      </c>
      <c r="R141" s="23" t="s">
        <v>35</v>
      </c>
      <c r="S141" s="23" t="s">
        <v>636</v>
      </c>
      <c r="T141" s="23" t="s">
        <v>37</v>
      </c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1"/>
      <c r="AI141" s="20"/>
      <c r="AJ141" s="20"/>
      <c r="AK141" s="20"/>
      <c r="AL141" s="20"/>
      <c r="AM141" s="20"/>
      <c r="AN141" s="20"/>
      <c r="AO141" s="20"/>
    </row>
    <row r="142" s="17" customFormat="1" customHeight="1" spans="1:41">
      <c r="A142" s="20">
        <v>111219</v>
      </c>
      <c r="B142" s="20" t="s">
        <v>191</v>
      </c>
      <c r="C142" s="23" t="s">
        <v>138</v>
      </c>
      <c r="D142" s="23" t="s">
        <v>139</v>
      </c>
      <c r="E142" s="23" t="s">
        <v>23</v>
      </c>
      <c r="F142" s="23" t="s">
        <v>24</v>
      </c>
      <c r="G142" s="23" t="s">
        <v>630</v>
      </c>
      <c r="H142" s="23" t="s">
        <v>241</v>
      </c>
      <c r="I142" s="26" t="s">
        <v>130</v>
      </c>
      <c r="J142" s="23" t="s">
        <v>637</v>
      </c>
      <c r="K142" s="23" t="s">
        <v>638</v>
      </c>
      <c r="L142" s="23" t="s">
        <v>196</v>
      </c>
      <c r="M142" s="25" t="s">
        <v>31</v>
      </c>
      <c r="N142" s="23" t="s">
        <v>32</v>
      </c>
      <c r="O142" s="23" t="s">
        <v>197</v>
      </c>
      <c r="P142" s="23" t="s">
        <v>34</v>
      </c>
      <c r="Q142" s="23" t="s">
        <v>34</v>
      </c>
      <c r="R142" s="23" t="s">
        <v>35</v>
      </c>
      <c r="S142" s="23" t="s">
        <v>639</v>
      </c>
      <c r="T142" s="23" t="s">
        <v>37</v>
      </c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1"/>
      <c r="AI142" s="20"/>
      <c r="AJ142" s="20"/>
      <c r="AK142" s="20"/>
      <c r="AL142" s="20"/>
      <c r="AM142" s="20"/>
      <c r="AN142" s="20"/>
      <c r="AO142" s="20"/>
    </row>
    <row r="143" s="17" customFormat="1" customHeight="1" spans="1:41">
      <c r="A143" s="20">
        <v>111219</v>
      </c>
      <c r="B143" s="20" t="s">
        <v>191</v>
      </c>
      <c r="C143" s="23" t="s">
        <v>138</v>
      </c>
      <c r="D143" s="23" t="s">
        <v>257</v>
      </c>
      <c r="E143" s="23" t="s">
        <v>23</v>
      </c>
      <c r="F143" s="23" t="s">
        <v>24</v>
      </c>
      <c r="G143" s="23" t="s">
        <v>640</v>
      </c>
      <c r="H143" s="23" t="s">
        <v>497</v>
      </c>
      <c r="I143" s="26" t="s">
        <v>26</v>
      </c>
      <c r="J143" s="23" t="s">
        <v>641</v>
      </c>
      <c r="K143" s="23" t="s">
        <v>642</v>
      </c>
      <c r="L143" s="23" t="s">
        <v>196</v>
      </c>
      <c r="M143" s="25" t="s">
        <v>31</v>
      </c>
      <c r="N143" s="23" t="s">
        <v>32</v>
      </c>
      <c r="O143" s="23" t="s">
        <v>197</v>
      </c>
      <c r="P143" s="23" t="s">
        <v>34</v>
      </c>
      <c r="Q143" s="23" t="s">
        <v>34</v>
      </c>
      <c r="R143" s="23" t="s">
        <v>35</v>
      </c>
      <c r="S143" s="23" t="s">
        <v>643</v>
      </c>
      <c r="T143" s="23" t="s">
        <v>37</v>
      </c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1"/>
      <c r="AI143" s="20"/>
      <c r="AJ143" s="20"/>
      <c r="AK143" s="20"/>
      <c r="AL143" s="20"/>
      <c r="AM143" s="20"/>
      <c r="AN143" s="20"/>
      <c r="AO143" s="20"/>
    </row>
    <row r="144" s="17" customFormat="1" hidden="1" customHeight="1" spans="3:20">
      <c r="C144" s="23" t="s">
        <v>138</v>
      </c>
      <c r="D144" s="23" t="s">
        <v>257</v>
      </c>
      <c r="E144" s="23" t="s">
        <v>23</v>
      </c>
      <c r="F144" s="23" t="s">
        <v>24</v>
      </c>
      <c r="G144" s="23" t="s">
        <v>644</v>
      </c>
      <c r="H144" s="23" t="s">
        <v>497</v>
      </c>
      <c r="I144" s="26" t="s">
        <v>26</v>
      </c>
      <c r="J144" s="23" t="s">
        <v>645</v>
      </c>
      <c r="K144" s="23" t="s">
        <v>646</v>
      </c>
      <c r="L144" s="23" t="s">
        <v>571</v>
      </c>
      <c r="M144" s="23" t="s">
        <v>58</v>
      </c>
      <c r="N144" s="23" t="s">
        <v>32</v>
      </c>
      <c r="O144" s="23" t="s">
        <v>197</v>
      </c>
      <c r="P144" s="23" t="s">
        <v>34</v>
      </c>
      <c r="Q144" s="27" t="str">
        <f>HYPERLINK("http://ovopark.oss-cn-hangzhou.aliyuncs.com/5911_105220537023858_image_1656251803179.jpg","查看图片")</f>
        <v>查看图片</v>
      </c>
      <c r="R144" s="23" t="s">
        <v>35</v>
      </c>
      <c r="S144" s="23" t="s">
        <v>647</v>
      </c>
      <c r="T144" s="23" t="s">
        <v>37</v>
      </c>
    </row>
    <row r="145" s="17" customFormat="1" customHeight="1" spans="1:41">
      <c r="A145" s="20">
        <v>117310</v>
      </c>
      <c r="B145" s="20" t="s">
        <v>454</v>
      </c>
      <c r="C145" s="23" t="s">
        <v>138</v>
      </c>
      <c r="D145" s="23" t="s">
        <v>257</v>
      </c>
      <c r="E145" s="23" t="s">
        <v>23</v>
      </c>
      <c r="F145" s="23" t="s">
        <v>24</v>
      </c>
      <c r="G145" s="23" t="s">
        <v>648</v>
      </c>
      <c r="H145" s="23" t="s">
        <v>497</v>
      </c>
      <c r="I145" s="26" t="s">
        <v>26</v>
      </c>
      <c r="J145" s="23" t="s">
        <v>649</v>
      </c>
      <c r="K145" s="23" t="s">
        <v>650</v>
      </c>
      <c r="L145" s="23" t="s">
        <v>458</v>
      </c>
      <c r="M145" s="25" t="s">
        <v>31</v>
      </c>
      <c r="N145" s="23" t="s">
        <v>32</v>
      </c>
      <c r="O145" s="23" t="s">
        <v>197</v>
      </c>
      <c r="P145" s="23" t="s">
        <v>34</v>
      </c>
      <c r="Q145" s="27" t="str">
        <f>HYPERLINK("http://ovopark.oss-cn-hangzhou.aliyuncs.com/62_1656304376569_2232_1913828918061065_.jpg","查看图片")</f>
        <v>查看图片</v>
      </c>
      <c r="R145" s="23" t="s">
        <v>35</v>
      </c>
      <c r="S145" s="23" t="s">
        <v>651</v>
      </c>
      <c r="T145" s="23" t="s">
        <v>37</v>
      </c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1"/>
      <c r="AI145" s="20"/>
      <c r="AJ145" s="20"/>
      <c r="AK145" s="20"/>
      <c r="AL145" s="20"/>
      <c r="AM145" s="20"/>
      <c r="AN145" s="20"/>
      <c r="AO145" s="20"/>
    </row>
    <row r="146" s="17" customFormat="1" customHeight="1" spans="1:41">
      <c r="A146" s="20">
        <v>117310</v>
      </c>
      <c r="B146" s="20" t="s">
        <v>454</v>
      </c>
      <c r="C146" s="23" t="s">
        <v>138</v>
      </c>
      <c r="D146" s="23" t="s">
        <v>168</v>
      </c>
      <c r="E146" s="23" t="s">
        <v>23</v>
      </c>
      <c r="F146" s="23" t="s">
        <v>24</v>
      </c>
      <c r="G146" s="23" t="s">
        <v>652</v>
      </c>
      <c r="H146" s="23" t="s">
        <v>241</v>
      </c>
      <c r="I146" s="26" t="s">
        <v>130</v>
      </c>
      <c r="J146" s="23" t="s">
        <v>653</v>
      </c>
      <c r="K146" s="23" t="s">
        <v>654</v>
      </c>
      <c r="L146" s="23" t="s">
        <v>458</v>
      </c>
      <c r="M146" s="25" t="s">
        <v>31</v>
      </c>
      <c r="N146" s="23" t="s">
        <v>32</v>
      </c>
      <c r="O146" s="23" t="s">
        <v>197</v>
      </c>
      <c r="P146" s="23" t="s">
        <v>34</v>
      </c>
      <c r="Q146" s="27" t="str">
        <f>HYPERLINK("http://ovopark.oss-cn-hangzhou.aliyuncs.com/62_1656304416969_2232_1913869446340067_.jpg","查看图片")</f>
        <v>查看图片</v>
      </c>
      <c r="R146" s="23" t="s">
        <v>35</v>
      </c>
      <c r="S146" s="23" t="s">
        <v>655</v>
      </c>
      <c r="T146" s="23" t="s">
        <v>37</v>
      </c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1"/>
      <c r="AI146" s="20"/>
      <c r="AJ146" s="20"/>
      <c r="AK146" s="20"/>
      <c r="AL146" s="20"/>
      <c r="AM146" s="20"/>
      <c r="AN146" s="20"/>
      <c r="AO146" s="20"/>
    </row>
    <row r="147" s="17" customFormat="1" customHeight="1" spans="1:41">
      <c r="A147" s="20">
        <v>117310</v>
      </c>
      <c r="B147" s="20" t="s">
        <v>454</v>
      </c>
      <c r="C147" s="23" t="s">
        <v>138</v>
      </c>
      <c r="D147" s="23" t="s">
        <v>147</v>
      </c>
      <c r="E147" s="23" t="s">
        <v>23</v>
      </c>
      <c r="F147" s="23" t="s">
        <v>24</v>
      </c>
      <c r="G147" s="23" t="s">
        <v>656</v>
      </c>
      <c r="H147" s="23" t="s">
        <v>241</v>
      </c>
      <c r="I147" s="26" t="s">
        <v>130</v>
      </c>
      <c r="J147" s="23" t="s">
        <v>657</v>
      </c>
      <c r="K147" s="23" t="s">
        <v>658</v>
      </c>
      <c r="L147" s="23" t="s">
        <v>458</v>
      </c>
      <c r="M147" s="25" t="s">
        <v>31</v>
      </c>
      <c r="N147" s="23" t="s">
        <v>32</v>
      </c>
      <c r="O147" s="23" t="s">
        <v>197</v>
      </c>
      <c r="P147" s="23" t="s">
        <v>34</v>
      </c>
      <c r="Q147" s="27" t="str">
        <f>HYPERLINK("http://ovopark.oss-cn-hangzhou.aliyuncs.com/62_1656304467746_2232_1913920218666224_.jpg","查看图片")</f>
        <v>查看图片</v>
      </c>
      <c r="R147" s="23" t="s">
        <v>35</v>
      </c>
      <c r="S147" s="23" t="s">
        <v>659</v>
      </c>
      <c r="T147" s="23" t="s">
        <v>37</v>
      </c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1"/>
      <c r="AI147" s="20"/>
      <c r="AJ147" s="20"/>
      <c r="AK147" s="20"/>
      <c r="AL147" s="20"/>
      <c r="AM147" s="20"/>
      <c r="AN147" s="20"/>
      <c r="AO147" s="20"/>
    </row>
    <row r="148" s="17" customFormat="1" customHeight="1" spans="1:41">
      <c r="A148" s="20">
        <v>117310</v>
      </c>
      <c r="B148" s="20" t="s">
        <v>454</v>
      </c>
      <c r="C148" s="23" t="s">
        <v>138</v>
      </c>
      <c r="D148" s="23" t="s">
        <v>152</v>
      </c>
      <c r="E148" s="23" t="s">
        <v>23</v>
      </c>
      <c r="F148" s="23" t="s">
        <v>24</v>
      </c>
      <c r="G148" s="23" t="s">
        <v>656</v>
      </c>
      <c r="H148" s="23" t="s">
        <v>241</v>
      </c>
      <c r="I148" s="26" t="s">
        <v>130</v>
      </c>
      <c r="J148" s="23" t="s">
        <v>660</v>
      </c>
      <c r="K148" s="23" t="s">
        <v>661</v>
      </c>
      <c r="L148" s="23" t="s">
        <v>458</v>
      </c>
      <c r="M148" s="25" t="s">
        <v>31</v>
      </c>
      <c r="N148" s="23" t="s">
        <v>32</v>
      </c>
      <c r="O148" s="23" t="s">
        <v>197</v>
      </c>
      <c r="P148" s="23" t="s">
        <v>34</v>
      </c>
      <c r="Q148" s="27" t="str">
        <f>HYPERLINK("http://ovopark.oss-cn-hangzhou.aliyuncs.com/62_1656304483324_2232_1913935797233225_.jpg","查看图片")</f>
        <v>查看图片</v>
      </c>
      <c r="R148" s="23" t="s">
        <v>35</v>
      </c>
      <c r="S148" s="23" t="s">
        <v>662</v>
      </c>
      <c r="T148" s="23" t="s">
        <v>37</v>
      </c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1"/>
      <c r="AI148" s="20"/>
      <c r="AJ148" s="20"/>
      <c r="AK148" s="20"/>
      <c r="AL148" s="20"/>
      <c r="AM148" s="20"/>
      <c r="AN148" s="20"/>
      <c r="AO148" s="20"/>
    </row>
    <row r="149" s="17" customFormat="1" customHeight="1" spans="1:41">
      <c r="A149" s="20">
        <v>117310</v>
      </c>
      <c r="B149" s="20" t="s">
        <v>454</v>
      </c>
      <c r="C149" s="23" t="s">
        <v>138</v>
      </c>
      <c r="D149" s="23" t="s">
        <v>156</v>
      </c>
      <c r="E149" s="23" t="s">
        <v>23</v>
      </c>
      <c r="F149" s="23" t="s">
        <v>24</v>
      </c>
      <c r="G149" s="23" t="s">
        <v>663</v>
      </c>
      <c r="H149" s="23" t="s">
        <v>241</v>
      </c>
      <c r="I149" s="26" t="s">
        <v>130</v>
      </c>
      <c r="J149" s="23" t="s">
        <v>664</v>
      </c>
      <c r="K149" s="23" t="s">
        <v>665</v>
      </c>
      <c r="L149" s="23" t="s">
        <v>458</v>
      </c>
      <c r="M149" s="25" t="s">
        <v>31</v>
      </c>
      <c r="N149" s="23" t="s">
        <v>32</v>
      </c>
      <c r="O149" s="23" t="s">
        <v>197</v>
      </c>
      <c r="P149" s="23" t="s">
        <v>34</v>
      </c>
      <c r="Q149" s="27" t="str">
        <f>HYPERLINK("http://ovopark.oss-cn-hangzhou.aliyuncs.com/62_1656304504750_2232_1913957224431765_.jpg","查看图片")</f>
        <v>查看图片</v>
      </c>
      <c r="R149" s="23" t="s">
        <v>35</v>
      </c>
      <c r="S149" s="23" t="s">
        <v>666</v>
      </c>
      <c r="T149" s="23" t="s">
        <v>37</v>
      </c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1"/>
      <c r="AI149" s="20"/>
      <c r="AJ149" s="20"/>
      <c r="AK149" s="20"/>
      <c r="AL149" s="20"/>
      <c r="AM149" s="20"/>
      <c r="AN149" s="20"/>
      <c r="AO149" s="20"/>
    </row>
    <row r="150" s="17" customFormat="1" customHeight="1" spans="1:41">
      <c r="A150" s="20">
        <v>117310</v>
      </c>
      <c r="B150" s="20" t="s">
        <v>454</v>
      </c>
      <c r="C150" s="23" t="s">
        <v>138</v>
      </c>
      <c r="D150" s="23" t="s">
        <v>161</v>
      </c>
      <c r="E150" s="23" t="s">
        <v>23</v>
      </c>
      <c r="F150" s="23" t="s">
        <v>24</v>
      </c>
      <c r="G150" s="23" t="s">
        <v>663</v>
      </c>
      <c r="H150" s="23" t="s">
        <v>241</v>
      </c>
      <c r="I150" s="26" t="s">
        <v>130</v>
      </c>
      <c r="J150" s="23" t="s">
        <v>667</v>
      </c>
      <c r="K150" s="23" t="s">
        <v>668</v>
      </c>
      <c r="L150" s="23" t="s">
        <v>458</v>
      </c>
      <c r="M150" s="25" t="s">
        <v>31</v>
      </c>
      <c r="N150" s="23" t="s">
        <v>32</v>
      </c>
      <c r="O150" s="23" t="s">
        <v>197</v>
      </c>
      <c r="P150" s="23" t="s">
        <v>34</v>
      </c>
      <c r="Q150" s="27" t="str">
        <f>HYPERLINK("http://ovopark.oss-cn-hangzhou.aliyuncs.com/62_1656304523269_2232_1913975682454920_.jpg","查看图片")</f>
        <v>查看图片</v>
      </c>
      <c r="R150" s="23" t="s">
        <v>35</v>
      </c>
      <c r="S150" s="23" t="s">
        <v>669</v>
      </c>
      <c r="T150" s="23" t="s">
        <v>37</v>
      </c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1"/>
      <c r="AI150" s="20"/>
      <c r="AJ150" s="20"/>
      <c r="AK150" s="20"/>
      <c r="AL150" s="20"/>
      <c r="AM150" s="20"/>
      <c r="AN150" s="20"/>
      <c r="AO150" s="20"/>
    </row>
    <row r="151" s="17" customFormat="1" customHeight="1" spans="1:41">
      <c r="A151" s="20">
        <v>117310</v>
      </c>
      <c r="B151" s="20" t="s">
        <v>454</v>
      </c>
      <c r="C151" s="23" t="s">
        <v>138</v>
      </c>
      <c r="D151" s="23" t="s">
        <v>139</v>
      </c>
      <c r="E151" s="23" t="s">
        <v>23</v>
      </c>
      <c r="F151" s="23" t="s">
        <v>24</v>
      </c>
      <c r="G151" s="23" t="s">
        <v>663</v>
      </c>
      <c r="H151" s="23" t="s">
        <v>241</v>
      </c>
      <c r="I151" s="26" t="s">
        <v>130</v>
      </c>
      <c r="J151" s="23" t="s">
        <v>670</v>
      </c>
      <c r="K151" s="23" t="s">
        <v>671</v>
      </c>
      <c r="L151" s="23" t="s">
        <v>458</v>
      </c>
      <c r="M151" s="25" t="s">
        <v>31</v>
      </c>
      <c r="N151" s="23" t="s">
        <v>32</v>
      </c>
      <c r="O151" s="23" t="s">
        <v>197</v>
      </c>
      <c r="P151" s="23" t="s">
        <v>34</v>
      </c>
      <c r="Q151" s="27" t="str">
        <f>HYPERLINK("http://ovopark.oss-cn-hangzhou.aliyuncs.com/62_1656304538109_2232_1913990587015613_.jpg","查看图片")</f>
        <v>查看图片</v>
      </c>
      <c r="R151" s="23" t="s">
        <v>35</v>
      </c>
      <c r="S151" s="23" t="s">
        <v>672</v>
      </c>
      <c r="T151" s="23" t="s">
        <v>37</v>
      </c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1"/>
      <c r="AI151" s="20"/>
      <c r="AJ151" s="20"/>
      <c r="AK151" s="20"/>
      <c r="AL151" s="20"/>
      <c r="AM151" s="20"/>
      <c r="AN151" s="20"/>
      <c r="AO151" s="20"/>
    </row>
    <row r="152" s="17" customFormat="1" customHeight="1" spans="1:41">
      <c r="A152" s="20">
        <v>103198</v>
      </c>
      <c r="B152" s="20" t="s">
        <v>323</v>
      </c>
      <c r="C152" s="23" t="s">
        <v>138</v>
      </c>
      <c r="D152" s="23" t="s">
        <v>257</v>
      </c>
      <c r="E152" s="23" t="s">
        <v>23</v>
      </c>
      <c r="F152" s="23" t="s">
        <v>24</v>
      </c>
      <c r="G152" s="23" t="s">
        <v>673</v>
      </c>
      <c r="H152" s="23" t="s">
        <v>497</v>
      </c>
      <c r="I152" s="26" t="s">
        <v>26</v>
      </c>
      <c r="J152" s="23" t="s">
        <v>674</v>
      </c>
      <c r="K152" s="23" t="s">
        <v>675</v>
      </c>
      <c r="L152" s="23" t="s">
        <v>327</v>
      </c>
      <c r="M152" s="25" t="s">
        <v>31</v>
      </c>
      <c r="N152" s="23" t="s">
        <v>32</v>
      </c>
      <c r="O152" s="23" t="s">
        <v>197</v>
      </c>
      <c r="P152" s="23" t="s">
        <v>34</v>
      </c>
      <c r="Q152" s="27" t="str">
        <f>HYPERLINK("https://ovopark.oss-cn-hangzhou.aliyuncs.com/2022/06/27/image_1656312000074.jpg","查看图片")</f>
        <v>查看图片</v>
      </c>
      <c r="R152" s="23" t="s">
        <v>35</v>
      </c>
      <c r="S152" s="23" t="s">
        <v>676</v>
      </c>
      <c r="T152" s="23" t="s">
        <v>37</v>
      </c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1"/>
      <c r="AI152" s="20"/>
      <c r="AJ152" s="20"/>
      <c r="AK152" s="20"/>
      <c r="AL152" s="20"/>
      <c r="AM152" s="20"/>
      <c r="AN152" s="20"/>
      <c r="AO152" s="20"/>
    </row>
    <row r="153" s="17" customFormat="1" customHeight="1" spans="1:41">
      <c r="A153" s="20">
        <v>103198</v>
      </c>
      <c r="B153" s="20" t="s">
        <v>323</v>
      </c>
      <c r="C153" s="23" t="s">
        <v>677</v>
      </c>
      <c r="D153" s="23" t="s">
        <v>678</v>
      </c>
      <c r="E153" s="23" t="s">
        <v>23</v>
      </c>
      <c r="F153" s="23" t="s">
        <v>24</v>
      </c>
      <c r="G153" s="23" t="s">
        <v>679</v>
      </c>
      <c r="H153" s="23" t="s">
        <v>241</v>
      </c>
      <c r="I153" s="26" t="s">
        <v>130</v>
      </c>
      <c r="J153" s="23" t="s">
        <v>680</v>
      </c>
      <c r="K153" s="23" t="s">
        <v>681</v>
      </c>
      <c r="L153" s="23" t="s">
        <v>327</v>
      </c>
      <c r="M153" s="25" t="s">
        <v>31</v>
      </c>
      <c r="N153" s="23" t="s">
        <v>32</v>
      </c>
      <c r="O153" s="23" t="s">
        <v>197</v>
      </c>
      <c r="P153" s="27" t="str">
        <f>HYPERLINK("https://ovopark.oss-cn-hangzhou.aliyuncs.com/2022/06/22/0_62_20220622124637_5615.png?x-oss-process=image/resize,w_700,l_700","查看图片")</f>
        <v>查看图片</v>
      </c>
      <c r="Q153" s="27" t="str">
        <f>HYPERLINK("https://ovopark.oss-cn-hangzhou.aliyuncs.com/2022/06/27/image_1656312040785.jpg","查看图片")</f>
        <v>查看图片</v>
      </c>
      <c r="R153" s="23" t="s">
        <v>60</v>
      </c>
      <c r="S153" s="23" t="s">
        <v>682</v>
      </c>
      <c r="T153" s="23" t="s">
        <v>37</v>
      </c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1"/>
      <c r="AI153" s="20"/>
      <c r="AJ153" s="20"/>
      <c r="AK153" s="20"/>
      <c r="AL153" s="20"/>
      <c r="AM153" s="20"/>
      <c r="AN153" s="20"/>
      <c r="AO153" s="20"/>
    </row>
    <row r="154" s="17" customFormat="1" customHeight="1" spans="1:41">
      <c r="A154" s="20">
        <v>103198</v>
      </c>
      <c r="B154" s="20" t="s">
        <v>323</v>
      </c>
      <c r="C154" s="23" t="s">
        <v>683</v>
      </c>
      <c r="D154" s="23" t="s">
        <v>684</v>
      </c>
      <c r="E154" s="23" t="s">
        <v>23</v>
      </c>
      <c r="F154" s="23" t="s">
        <v>24</v>
      </c>
      <c r="G154" s="23" t="s">
        <v>679</v>
      </c>
      <c r="H154" s="23" t="s">
        <v>241</v>
      </c>
      <c r="I154" s="26" t="s">
        <v>130</v>
      </c>
      <c r="J154" s="23" t="s">
        <v>685</v>
      </c>
      <c r="K154" s="23" t="s">
        <v>686</v>
      </c>
      <c r="L154" s="23" t="s">
        <v>327</v>
      </c>
      <c r="M154" s="25" t="s">
        <v>31</v>
      </c>
      <c r="N154" s="23" t="s">
        <v>32</v>
      </c>
      <c r="O154" s="23" t="s">
        <v>197</v>
      </c>
      <c r="P154" s="27" t="str">
        <f>HYPERLINK("https://ovopark.oss-cn-hangzhou.aliyuncs.com/2022/06/22/0_62_20220622124514_4100.png?x-oss-process=image/resize,w_700,l_700","查看图片")</f>
        <v>查看图片</v>
      </c>
      <c r="Q154" s="27" t="str">
        <f>HYPERLINK("https://ovopark.oss-cn-hangzhou.aliyuncs.com/2022/06/27/image_1656312132377.jpg","查看图片")</f>
        <v>查看图片</v>
      </c>
      <c r="R154" s="23" t="s">
        <v>60</v>
      </c>
      <c r="S154" s="23" t="s">
        <v>687</v>
      </c>
      <c r="T154" s="23" t="s">
        <v>37</v>
      </c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1"/>
      <c r="AI154" s="20"/>
      <c r="AJ154" s="20"/>
      <c r="AK154" s="20"/>
      <c r="AL154" s="20"/>
      <c r="AM154" s="20"/>
      <c r="AN154" s="20"/>
      <c r="AO154" s="20"/>
    </row>
    <row r="155" s="17" customFormat="1" customHeight="1" spans="1:41">
      <c r="A155" s="20">
        <v>103198</v>
      </c>
      <c r="B155" s="20" t="s">
        <v>323</v>
      </c>
      <c r="C155" s="23" t="s">
        <v>683</v>
      </c>
      <c r="D155" s="23" t="s">
        <v>688</v>
      </c>
      <c r="E155" s="23" t="s">
        <v>23</v>
      </c>
      <c r="F155" s="23" t="s">
        <v>24</v>
      </c>
      <c r="G155" s="23" t="s">
        <v>679</v>
      </c>
      <c r="H155" s="23" t="s">
        <v>241</v>
      </c>
      <c r="I155" s="26" t="s">
        <v>130</v>
      </c>
      <c r="J155" s="23" t="s">
        <v>689</v>
      </c>
      <c r="K155" s="23" t="s">
        <v>690</v>
      </c>
      <c r="L155" s="23" t="s">
        <v>327</v>
      </c>
      <c r="M155" s="25" t="s">
        <v>31</v>
      </c>
      <c r="N155" s="23" t="s">
        <v>32</v>
      </c>
      <c r="O155" s="23" t="s">
        <v>197</v>
      </c>
      <c r="P155" s="27" t="str">
        <f>HYPERLINK("https://ovopark.oss-cn-hangzhou.aliyuncs.com/2022/06/22/0_62_20220622124333_3831.png?x-oss-process=image/resize,w_700,l_700","查看图片")</f>
        <v>查看图片</v>
      </c>
      <c r="Q155" s="27" t="str">
        <f>HYPERLINK("https://ovopark.oss-cn-hangzhou.aliyuncs.com/2022/06/27/image_1656312179538.jpg","查看图片")</f>
        <v>查看图片</v>
      </c>
      <c r="R155" s="23" t="s">
        <v>60</v>
      </c>
      <c r="S155" s="23" t="s">
        <v>691</v>
      </c>
      <c r="T155" s="23" t="s">
        <v>37</v>
      </c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1"/>
      <c r="AI155" s="20"/>
      <c r="AJ155" s="20"/>
      <c r="AK155" s="20"/>
      <c r="AL155" s="20"/>
      <c r="AM155" s="20"/>
      <c r="AN155" s="20"/>
      <c r="AO155" s="20"/>
    </row>
    <row r="156" s="17" customFormat="1" customHeight="1" spans="1:41">
      <c r="A156" s="20">
        <v>103198</v>
      </c>
      <c r="B156" s="20" t="s">
        <v>323</v>
      </c>
      <c r="C156" s="23" t="s">
        <v>692</v>
      </c>
      <c r="D156" s="23" t="s">
        <v>693</v>
      </c>
      <c r="E156" s="23" t="s">
        <v>23</v>
      </c>
      <c r="F156" s="23" t="s">
        <v>24</v>
      </c>
      <c r="G156" s="23" t="s">
        <v>679</v>
      </c>
      <c r="H156" s="23" t="s">
        <v>241</v>
      </c>
      <c r="I156" s="26" t="s">
        <v>130</v>
      </c>
      <c r="J156" s="23" t="s">
        <v>694</v>
      </c>
      <c r="K156" s="23" t="s">
        <v>695</v>
      </c>
      <c r="L156" s="23" t="s">
        <v>327</v>
      </c>
      <c r="M156" s="25" t="s">
        <v>31</v>
      </c>
      <c r="N156" s="23" t="s">
        <v>32</v>
      </c>
      <c r="O156" s="23" t="s">
        <v>197</v>
      </c>
      <c r="P156" s="23" t="s">
        <v>34</v>
      </c>
      <c r="Q156" s="27" t="str">
        <f>HYPERLINK("https://ovopark.oss-cn-hangzhou.aliyuncs.com/2022/06/27/image_1656312234489.jpg","查看图片")</f>
        <v>查看图片</v>
      </c>
      <c r="R156" s="23" t="s">
        <v>60</v>
      </c>
      <c r="S156" s="23" t="s">
        <v>696</v>
      </c>
      <c r="T156" s="23" t="s">
        <v>37</v>
      </c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1"/>
      <c r="AI156" s="20"/>
      <c r="AJ156" s="20"/>
      <c r="AK156" s="20"/>
      <c r="AL156" s="20"/>
      <c r="AM156" s="20"/>
      <c r="AN156" s="20"/>
      <c r="AO156" s="20"/>
    </row>
    <row r="157" s="17" customFormat="1" customHeight="1" spans="1:41">
      <c r="A157" s="20">
        <v>103198</v>
      </c>
      <c r="B157" s="20" t="s">
        <v>323</v>
      </c>
      <c r="C157" s="23" t="s">
        <v>138</v>
      </c>
      <c r="D157" s="23" t="s">
        <v>168</v>
      </c>
      <c r="E157" s="23" t="s">
        <v>23</v>
      </c>
      <c r="F157" s="23" t="s">
        <v>24</v>
      </c>
      <c r="G157" s="23" t="s">
        <v>697</v>
      </c>
      <c r="H157" s="23" t="s">
        <v>241</v>
      </c>
      <c r="I157" s="26" t="s">
        <v>130</v>
      </c>
      <c r="J157" s="23" t="s">
        <v>698</v>
      </c>
      <c r="K157" s="23" t="s">
        <v>699</v>
      </c>
      <c r="L157" s="23" t="s">
        <v>327</v>
      </c>
      <c r="M157" s="25" t="s">
        <v>31</v>
      </c>
      <c r="N157" s="23" t="s">
        <v>32</v>
      </c>
      <c r="O157" s="23" t="s">
        <v>197</v>
      </c>
      <c r="P157" s="23" t="s">
        <v>34</v>
      </c>
      <c r="Q157" s="27" t="str">
        <f>HYPERLINK("https://ovopark.oss-cn-hangzhou.aliyuncs.com/2022/06/27/image_1656312294853.jpg","查看图片")</f>
        <v>查看图片</v>
      </c>
      <c r="R157" s="23" t="s">
        <v>35</v>
      </c>
      <c r="S157" s="23" t="s">
        <v>700</v>
      </c>
      <c r="T157" s="23" t="s">
        <v>37</v>
      </c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1"/>
      <c r="AI157" s="20"/>
      <c r="AJ157" s="20"/>
      <c r="AK157" s="20"/>
      <c r="AL157" s="20"/>
      <c r="AM157" s="20"/>
      <c r="AN157" s="20"/>
      <c r="AO157" s="20"/>
    </row>
    <row r="158" s="17" customFormat="1" hidden="1" customHeight="1" spans="3:20">
      <c r="C158" s="23" t="s">
        <v>291</v>
      </c>
      <c r="D158" s="23" t="s">
        <v>292</v>
      </c>
      <c r="E158" s="23" t="s">
        <v>23</v>
      </c>
      <c r="F158" s="23" t="s">
        <v>24</v>
      </c>
      <c r="G158" s="23" t="s">
        <v>701</v>
      </c>
      <c r="H158" s="23" t="s">
        <v>241</v>
      </c>
      <c r="I158" s="26" t="s">
        <v>130</v>
      </c>
      <c r="J158" s="23" t="s">
        <v>702</v>
      </c>
      <c r="K158" s="23" t="s">
        <v>703</v>
      </c>
      <c r="L158" s="23" t="s">
        <v>282</v>
      </c>
      <c r="M158" s="23" t="s">
        <v>58</v>
      </c>
      <c r="N158" s="23" t="s">
        <v>32</v>
      </c>
      <c r="O158" s="23" t="s">
        <v>145</v>
      </c>
      <c r="P158" s="27" t="str">
        <f>HYPERLINK("https://ovopark.oss-cn-hangzhou.aliyuncs.com/6b5f2830ad8a312e09d1c66bd1c8d314.jpg?x-oss-process=image/resize,w_700,l_700","查看图片")</f>
        <v>查看图片</v>
      </c>
      <c r="Q158" s="27" t="str">
        <f>HYPERLINK("https://ovopark.oss-cn-hangzhou.aliyuncs.com/2022/06/25/0_62_20220625174934_1634.jpeg","查看图片")</f>
        <v>查看图片</v>
      </c>
      <c r="R158" s="23" t="s">
        <v>35</v>
      </c>
      <c r="S158" s="23" t="s">
        <v>704</v>
      </c>
      <c r="T158" s="23" t="s">
        <v>37</v>
      </c>
    </row>
    <row r="159" s="17" customFormat="1" hidden="1" customHeight="1" spans="3:20">
      <c r="C159" s="23" t="s">
        <v>138</v>
      </c>
      <c r="D159" s="23" t="s">
        <v>139</v>
      </c>
      <c r="E159" s="23" t="s">
        <v>23</v>
      </c>
      <c r="F159" s="23" t="s">
        <v>24</v>
      </c>
      <c r="G159" s="23" t="s">
        <v>705</v>
      </c>
      <c r="H159" s="23" t="s">
        <v>241</v>
      </c>
      <c r="I159" s="26" t="s">
        <v>130</v>
      </c>
      <c r="J159" s="23" t="s">
        <v>706</v>
      </c>
      <c r="K159" s="23" t="s">
        <v>707</v>
      </c>
      <c r="L159" s="23" t="s">
        <v>282</v>
      </c>
      <c r="M159" s="23" t="s">
        <v>58</v>
      </c>
      <c r="N159" s="23" t="s">
        <v>32</v>
      </c>
      <c r="O159" s="23" t="s">
        <v>145</v>
      </c>
      <c r="P159" s="23" t="s">
        <v>34</v>
      </c>
      <c r="Q159" s="27" t="str">
        <f>HYPERLINK("https://ovopark.oss-cn-hangzhou.aliyuncs.com/2022/06/25/0_62_20220625175339_9103.jpeg","查看图片")</f>
        <v>查看图片</v>
      </c>
      <c r="R159" s="23" t="s">
        <v>35</v>
      </c>
      <c r="S159" s="23" t="s">
        <v>708</v>
      </c>
      <c r="T159" s="23" t="s">
        <v>37</v>
      </c>
    </row>
    <row r="160" s="17" customFormat="1" hidden="1" customHeight="1" spans="3:20">
      <c r="C160" s="23" t="s">
        <v>138</v>
      </c>
      <c r="D160" s="23" t="s">
        <v>161</v>
      </c>
      <c r="E160" s="23" t="s">
        <v>23</v>
      </c>
      <c r="F160" s="23" t="s">
        <v>24</v>
      </c>
      <c r="G160" s="23" t="s">
        <v>705</v>
      </c>
      <c r="H160" s="23" t="s">
        <v>241</v>
      </c>
      <c r="I160" s="26" t="s">
        <v>130</v>
      </c>
      <c r="J160" s="23" t="s">
        <v>709</v>
      </c>
      <c r="K160" s="23" t="s">
        <v>710</v>
      </c>
      <c r="L160" s="23" t="s">
        <v>282</v>
      </c>
      <c r="M160" s="23" t="s">
        <v>58</v>
      </c>
      <c r="N160" s="23" t="s">
        <v>32</v>
      </c>
      <c r="O160" s="23" t="s">
        <v>145</v>
      </c>
      <c r="P160" s="23" t="s">
        <v>34</v>
      </c>
      <c r="Q160" s="27" t="str">
        <f>HYPERLINK("https://ovopark.oss-cn-hangzhou.aliyuncs.com/2022/06/25/0_62_20220625175209_5813.jpeg","查看图片")</f>
        <v>查看图片</v>
      </c>
      <c r="R160" s="23" t="s">
        <v>35</v>
      </c>
      <c r="S160" s="23" t="s">
        <v>711</v>
      </c>
      <c r="T160" s="23" t="s">
        <v>37</v>
      </c>
    </row>
    <row r="161" s="17" customFormat="1" customHeight="1" spans="1:41">
      <c r="A161" s="20">
        <v>738</v>
      </c>
      <c r="B161" s="20" t="s">
        <v>278</v>
      </c>
      <c r="C161" s="23" t="s">
        <v>291</v>
      </c>
      <c r="D161" s="23" t="s">
        <v>292</v>
      </c>
      <c r="E161" s="23" t="s">
        <v>23</v>
      </c>
      <c r="F161" s="23" t="s">
        <v>24</v>
      </c>
      <c r="G161" s="23" t="s">
        <v>712</v>
      </c>
      <c r="H161" s="23" t="s">
        <v>497</v>
      </c>
      <c r="I161" s="26" t="s">
        <v>26</v>
      </c>
      <c r="J161" s="23" t="s">
        <v>713</v>
      </c>
      <c r="K161" s="23" t="s">
        <v>714</v>
      </c>
      <c r="L161" s="23" t="s">
        <v>282</v>
      </c>
      <c r="M161" s="25" t="s">
        <v>31</v>
      </c>
      <c r="N161" s="23" t="s">
        <v>32</v>
      </c>
      <c r="O161" s="23" t="s">
        <v>145</v>
      </c>
      <c r="P161" s="27" t="str">
        <f>HYPERLINK("https://ovopark.oss-cn-hangzhou.aliyuncs.com/5073d15ea12165834608c190e43247f8.jpg?x-oss-process=image/resize,w_700,l_700","查看图片")</f>
        <v>查看图片</v>
      </c>
      <c r="Q161" s="27" t="str">
        <f>HYPERLINK("https://ovopark.oss-cn-hangzhou.aliyuncs.com/2022/06/25/0_62_20220625175134_6159.jpeg","查看图片")</f>
        <v>查看图片</v>
      </c>
      <c r="R161" s="23" t="s">
        <v>35</v>
      </c>
      <c r="S161" s="23" t="s">
        <v>715</v>
      </c>
      <c r="T161" s="23" t="s">
        <v>37</v>
      </c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1"/>
      <c r="AI161" s="20"/>
      <c r="AJ161" s="20"/>
      <c r="AK161" s="20"/>
      <c r="AL161" s="20"/>
      <c r="AM161" s="20"/>
      <c r="AN161" s="20"/>
      <c r="AO161" s="20"/>
    </row>
    <row r="162" s="17" customFormat="1" customHeight="1" spans="1:41">
      <c r="A162" s="20">
        <v>738</v>
      </c>
      <c r="B162" s="20" t="s">
        <v>278</v>
      </c>
      <c r="C162" s="23" t="s">
        <v>138</v>
      </c>
      <c r="D162" s="23" t="s">
        <v>257</v>
      </c>
      <c r="E162" s="23" t="s">
        <v>23</v>
      </c>
      <c r="F162" s="23" t="s">
        <v>24</v>
      </c>
      <c r="G162" s="23" t="s">
        <v>716</v>
      </c>
      <c r="H162" s="23" t="s">
        <v>497</v>
      </c>
      <c r="I162" s="26" t="s">
        <v>26</v>
      </c>
      <c r="J162" s="23" t="s">
        <v>717</v>
      </c>
      <c r="K162" s="23" t="s">
        <v>718</v>
      </c>
      <c r="L162" s="23" t="s">
        <v>282</v>
      </c>
      <c r="M162" s="25" t="s">
        <v>31</v>
      </c>
      <c r="N162" s="23" t="s">
        <v>32</v>
      </c>
      <c r="O162" s="23" t="s">
        <v>145</v>
      </c>
      <c r="P162" s="23" t="s">
        <v>34</v>
      </c>
      <c r="Q162" s="23" t="s">
        <v>34</v>
      </c>
      <c r="R162" s="23" t="s">
        <v>35</v>
      </c>
      <c r="S162" s="23" t="s">
        <v>719</v>
      </c>
      <c r="T162" s="23" t="s">
        <v>37</v>
      </c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1"/>
      <c r="AI162" s="20"/>
      <c r="AJ162" s="20"/>
      <c r="AK162" s="20"/>
      <c r="AL162" s="20"/>
      <c r="AM162" s="20"/>
      <c r="AN162" s="20"/>
      <c r="AO162" s="20"/>
    </row>
    <row r="163" s="17" customFormat="1" customHeight="1" spans="1:41">
      <c r="A163" s="20">
        <v>116482</v>
      </c>
      <c r="B163" s="20" t="s">
        <v>720</v>
      </c>
      <c r="C163" s="23" t="s">
        <v>692</v>
      </c>
      <c r="D163" s="23" t="s">
        <v>721</v>
      </c>
      <c r="E163" s="23" t="s">
        <v>23</v>
      </c>
      <c r="F163" s="23" t="s">
        <v>24</v>
      </c>
      <c r="G163" s="23" t="s">
        <v>722</v>
      </c>
      <c r="H163" s="23" t="s">
        <v>540</v>
      </c>
      <c r="I163" s="26" t="s">
        <v>497</v>
      </c>
      <c r="J163" s="23" t="s">
        <v>723</v>
      </c>
      <c r="K163" s="23" t="s">
        <v>724</v>
      </c>
      <c r="L163" s="23" t="s">
        <v>725</v>
      </c>
      <c r="M163" s="25" t="s">
        <v>31</v>
      </c>
      <c r="N163" s="23" t="s">
        <v>32</v>
      </c>
      <c r="O163" s="23" t="s">
        <v>726</v>
      </c>
      <c r="P163" s="23" t="s">
        <v>34</v>
      </c>
      <c r="Q163" s="23" t="s">
        <v>34</v>
      </c>
      <c r="R163" s="23" t="s">
        <v>60</v>
      </c>
      <c r="S163" s="23" t="s">
        <v>727</v>
      </c>
      <c r="T163" s="23" t="s">
        <v>37</v>
      </c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1"/>
      <c r="AI163" s="20"/>
      <c r="AJ163" s="20"/>
      <c r="AK163" s="20"/>
      <c r="AL163" s="20"/>
      <c r="AM163" s="20"/>
      <c r="AN163" s="20"/>
      <c r="AO163" s="20"/>
    </row>
    <row r="164" s="17" customFormat="1" customHeight="1" spans="1:41">
      <c r="A164" s="20">
        <v>116482</v>
      </c>
      <c r="B164" s="20" t="s">
        <v>720</v>
      </c>
      <c r="C164" s="23" t="s">
        <v>683</v>
      </c>
      <c r="D164" s="23" t="s">
        <v>728</v>
      </c>
      <c r="E164" s="23" t="s">
        <v>23</v>
      </c>
      <c r="F164" s="23" t="s">
        <v>24</v>
      </c>
      <c r="G164" s="23" t="s">
        <v>722</v>
      </c>
      <c r="H164" s="23" t="s">
        <v>540</v>
      </c>
      <c r="I164" s="26" t="s">
        <v>497</v>
      </c>
      <c r="J164" s="23" t="s">
        <v>729</v>
      </c>
      <c r="K164" s="23" t="s">
        <v>730</v>
      </c>
      <c r="L164" s="23" t="s">
        <v>725</v>
      </c>
      <c r="M164" s="25" t="s">
        <v>31</v>
      </c>
      <c r="N164" s="23" t="s">
        <v>32</v>
      </c>
      <c r="O164" s="23" t="s">
        <v>726</v>
      </c>
      <c r="P164" s="27" t="str">
        <f>HYPERLINK("http://ovopark.oss-cn-hangzhou.aliyuncs.com/1930_245009403039696_compress_245009507016780_image_1655695427919.jpg?x-oss-process=image/resize,w_700,l_700","查看图片")</f>
        <v>查看图片</v>
      </c>
      <c r="Q164" s="23" t="s">
        <v>34</v>
      </c>
      <c r="R164" s="23" t="s">
        <v>60</v>
      </c>
      <c r="S164" s="23" t="s">
        <v>731</v>
      </c>
      <c r="T164" s="23" t="s">
        <v>37</v>
      </c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1"/>
      <c r="AI164" s="20"/>
      <c r="AJ164" s="20"/>
      <c r="AK164" s="20"/>
      <c r="AL164" s="20"/>
      <c r="AM164" s="20"/>
      <c r="AN164" s="20"/>
      <c r="AO164" s="20"/>
    </row>
    <row r="165" s="17" customFormat="1" customHeight="1" spans="1:41">
      <c r="A165" s="20">
        <v>727</v>
      </c>
      <c r="B165" s="20" t="s">
        <v>397</v>
      </c>
      <c r="C165" s="23" t="s">
        <v>138</v>
      </c>
      <c r="D165" s="23" t="s">
        <v>139</v>
      </c>
      <c r="E165" s="23" t="s">
        <v>23</v>
      </c>
      <c r="F165" s="23" t="s">
        <v>24</v>
      </c>
      <c r="G165" s="23" t="s">
        <v>732</v>
      </c>
      <c r="H165" s="23" t="s">
        <v>241</v>
      </c>
      <c r="I165" s="26" t="s">
        <v>130</v>
      </c>
      <c r="J165" s="23" t="s">
        <v>733</v>
      </c>
      <c r="K165" s="23" t="s">
        <v>734</v>
      </c>
      <c r="L165" s="23" t="s">
        <v>401</v>
      </c>
      <c r="M165" s="25" t="s">
        <v>31</v>
      </c>
      <c r="N165" s="23" t="s">
        <v>32</v>
      </c>
      <c r="O165" s="23" t="s">
        <v>197</v>
      </c>
      <c r="P165" s="23" t="s">
        <v>34</v>
      </c>
      <c r="Q165" s="27" t="str">
        <f>HYPERLINK("http://ovopark.oss-cn-hangzhou.aliyuncs.com/62_1656250946598_2202_334580041571787_.jpg","查看图片")</f>
        <v>查看图片</v>
      </c>
      <c r="R165" s="23" t="s">
        <v>35</v>
      </c>
      <c r="S165" s="23" t="s">
        <v>735</v>
      </c>
      <c r="T165" s="23" t="s">
        <v>37</v>
      </c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1"/>
      <c r="AI165" s="20"/>
      <c r="AJ165" s="20"/>
      <c r="AK165" s="20"/>
      <c r="AL165" s="20"/>
      <c r="AM165" s="20"/>
      <c r="AN165" s="20"/>
      <c r="AO165" s="20"/>
    </row>
    <row r="166" s="17" customFormat="1" customHeight="1" spans="1:41">
      <c r="A166" s="20">
        <v>727</v>
      </c>
      <c r="B166" s="20" t="s">
        <v>397</v>
      </c>
      <c r="C166" s="23" t="s">
        <v>138</v>
      </c>
      <c r="D166" s="23" t="s">
        <v>156</v>
      </c>
      <c r="E166" s="23" t="s">
        <v>23</v>
      </c>
      <c r="F166" s="23" t="s">
        <v>24</v>
      </c>
      <c r="G166" s="23" t="s">
        <v>732</v>
      </c>
      <c r="H166" s="23" t="s">
        <v>241</v>
      </c>
      <c r="I166" s="26" t="s">
        <v>130</v>
      </c>
      <c r="J166" s="23" t="s">
        <v>736</v>
      </c>
      <c r="K166" s="23" t="s">
        <v>737</v>
      </c>
      <c r="L166" s="23" t="s">
        <v>401</v>
      </c>
      <c r="M166" s="25" t="s">
        <v>31</v>
      </c>
      <c r="N166" s="23" t="s">
        <v>32</v>
      </c>
      <c r="O166" s="23" t="s">
        <v>197</v>
      </c>
      <c r="P166" s="23" t="s">
        <v>34</v>
      </c>
      <c r="Q166" s="27" t="str">
        <f>HYPERLINK("http://ovopark.oss-cn-hangzhou.aliyuncs.com/62_1656250980063_2202_334613500149942_.jpg","查看图片")</f>
        <v>查看图片</v>
      </c>
      <c r="R166" s="23" t="s">
        <v>35</v>
      </c>
      <c r="S166" s="23" t="s">
        <v>738</v>
      </c>
      <c r="T166" s="23" t="s">
        <v>37</v>
      </c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1"/>
      <c r="AI166" s="20"/>
      <c r="AJ166" s="20"/>
      <c r="AK166" s="20"/>
      <c r="AL166" s="20"/>
      <c r="AM166" s="20"/>
      <c r="AN166" s="20"/>
      <c r="AO166" s="20"/>
    </row>
    <row r="167" s="17" customFormat="1" customHeight="1" spans="1:41">
      <c r="A167" s="20">
        <v>727</v>
      </c>
      <c r="B167" s="20" t="s">
        <v>397</v>
      </c>
      <c r="C167" s="23" t="s">
        <v>138</v>
      </c>
      <c r="D167" s="23" t="s">
        <v>161</v>
      </c>
      <c r="E167" s="23" t="s">
        <v>23</v>
      </c>
      <c r="F167" s="23" t="s">
        <v>24</v>
      </c>
      <c r="G167" s="23" t="s">
        <v>732</v>
      </c>
      <c r="H167" s="23" t="s">
        <v>241</v>
      </c>
      <c r="I167" s="26" t="s">
        <v>130</v>
      </c>
      <c r="J167" s="23" t="s">
        <v>739</v>
      </c>
      <c r="K167" s="23" t="s">
        <v>740</v>
      </c>
      <c r="L167" s="23" t="s">
        <v>401</v>
      </c>
      <c r="M167" s="25" t="s">
        <v>31</v>
      </c>
      <c r="N167" s="23" t="s">
        <v>32</v>
      </c>
      <c r="O167" s="23" t="s">
        <v>197</v>
      </c>
      <c r="P167" s="23" t="s">
        <v>34</v>
      </c>
      <c r="Q167" s="27" t="str">
        <f>HYPERLINK("http://ovopark.oss-cn-hangzhou.aliyuncs.com/62_1656250997664_2202_334631088071251_.jpg","查看图片")</f>
        <v>查看图片</v>
      </c>
      <c r="R167" s="23" t="s">
        <v>35</v>
      </c>
      <c r="S167" s="23" t="s">
        <v>741</v>
      </c>
      <c r="T167" s="23" t="s">
        <v>37</v>
      </c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1"/>
      <c r="AI167" s="20"/>
      <c r="AJ167" s="20"/>
      <c r="AK167" s="20"/>
      <c r="AL167" s="20"/>
      <c r="AM167" s="20"/>
      <c r="AN167" s="20"/>
      <c r="AO167" s="20"/>
    </row>
    <row r="168" s="17" customFormat="1" customHeight="1" spans="1:41">
      <c r="A168" s="20">
        <v>727</v>
      </c>
      <c r="B168" s="20" t="s">
        <v>397</v>
      </c>
      <c r="C168" s="23" t="s">
        <v>138</v>
      </c>
      <c r="D168" s="23" t="s">
        <v>152</v>
      </c>
      <c r="E168" s="23" t="s">
        <v>23</v>
      </c>
      <c r="F168" s="23" t="s">
        <v>24</v>
      </c>
      <c r="G168" s="23" t="s">
        <v>742</v>
      </c>
      <c r="H168" s="23" t="s">
        <v>241</v>
      </c>
      <c r="I168" s="26" t="s">
        <v>130</v>
      </c>
      <c r="J168" s="23" t="s">
        <v>743</v>
      </c>
      <c r="K168" s="23" t="s">
        <v>744</v>
      </c>
      <c r="L168" s="23" t="s">
        <v>401</v>
      </c>
      <c r="M168" s="25" t="s">
        <v>31</v>
      </c>
      <c r="N168" s="23" t="s">
        <v>32</v>
      </c>
      <c r="O168" s="23" t="s">
        <v>197</v>
      </c>
      <c r="P168" s="23" t="s">
        <v>34</v>
      </c>
      <c r="Q168" s="27" t="str">
        <f>HYPERLINK("http://ovopark.oss-cn-hangzhou.aliyuncs.com/62_1656251035087_2202_334668503267253_.jpg","查看图片")</f>
        <v>查看图片</v>
      </c>
      <c r="R168" s="23" t="s">
        <v>35</v>
      </c>
      <c r="S168" s="23" t="s">
        <v>745</v>
      </c>
      <c r="T168" s="23" t="s">
        <v>37</v>
      </c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1"/>
      <c r="AI168" s="20"/>
      <c r="AJ168" s="20"/>
      <c r="AK168" s="20"/>
      <c r="AL168" s="20"/>
      <c r="AM168" s="20"/>
      <c r="AN168" s="20"/>
      <c r="AO168" s="20"/>
    </row>
    <row r="169" s="17" customFormat="1" customHeight="1" spans="1:41">
      <c r="A169" s="20">
        <v>727</v>
      </c>
      <c r="B169" s="20" t="s">
        <v>397</v>
      </c>
      <c r="C169" s="23" t="s">
        <v>138</v>
      </c>
      <c r="D169" s="23" t="s">
        <v>147</v>
      </c>
      <c r="E169" s="23" t="s">
        <v>23</v>
      </c>
      <c r="F169" s="23" t="s">
        <v>24</v>
      </c>
      <c r="G169" s="23" t="s">
        <v>742</v>
      </c>
      <c r="H169" s="23" t="s">
        <v>241</v>
      </c>
      <c r="I169" s="26" t="s">
        <v>130</v>
      </c>
      <c r="J169" s="23" t="s">
        <v>746</v>
      </c>
      <c r="K169" s="23" t="s">
        <v>747</v>
      </c>
      <c r="L169" s="23" t="s">
        <v>401</v>
      </c>
      <c r="M169" s="25" t="s">
        <v>31</v>
      </c>
      <c r="N169" s="23" t="s">
        <v>32</v>
      </c>
      <c r="O169" s="23" t="s">
        <v>197</v>
      </c>
      <c r="P169" s="23" t="s">
        <v>34</v>
      </c>
      <c r="Q169" s="27" t="str">
        <f>HYPERLINK("http://ovopark.oss-cn-hangzhou.aliyuncs.com/62_1656251050848_2202_334684277474562_.jpg","查看图片")</f>
        <v>查看图片</v>
      </c>
      <c r="R169" s="23" t="s">
        <v>35</v>
      </c>
      <c r="S169" s="23" t="s">
        <v>748</v>
      </c>
      <c r="T169" s="23" t="s">
        <v>37</v>
      </c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1"/>
      <c r="AI169" s="20"/>
      <c r="AJ169" s="20"/>
      <c r="AK169" s="20"/>
      <c r="AL169" s="20"/>
      <c r="AM169" s="20"/>
      <c r="AN169" s="20"/>
      <c r="AO169" s="20"/>
    </row>
    <row r="170" s="17" customFormat="1" hidden="1" customHeight="1" spans="3:20">
      <c r="C170" s="23" t="s">
        <v>138</v>
      </c>
      <c r="D170" s="23" t="s">
        <v>139</v>
      </c>
      <c r="E170" s="23" t="s">
        <v>23</v>
      </c>
      <c r="F170" s="23" t="s">
        <v>24</v>
      </c>
      <c r="G170" s="23" t="s">
        <v>749</v>
      </c>
      <c r="H170" s="23" t="s">
        <v>241</v>
      </c>
      <c r="I170" s="26" t="s">
        <v>130</v>
      </c>
      <c r="J170" s="23" t="s">
        <v>750</v>
      </c>
      <c r="K170" s="23" t="s">
        <v>751</v>
      </c>
      <c r="L170" s="23" t="s">
        <v>249</v>
      </c>
      <c r="M170" s="23" t="s">
        <v>58</v>
      </c>
      <c r="N170" s="23" t="s">
        <v>32</v>
      </c>
      <c r="O170" s="23" t="s">
        <v>197</v>
      </c>
      <c r="P170" s="23" t="s">
        <v>34</v>
      </c>
      <c r="Q170" s="27" t="str">
        <f>HYPERLINK("https://ovopark.oss-cn-hangzhou.aliyuncs.com/2022/06/25/image_1656137972420.jpg","查看图片")</f>
        <v>查看图片</v>
      </c>
      <c r="R170" s="23" t="s">
        <v>35</v>
      </c>
      <c r="S170" s="23" t="s">
        <v>752</v>
      </c>
      <c r="T170" s="23" t="s">
        <v>37</v>
      </c>
    </row>
    <row r="171" s="17" customFormat="1" customHeight="1" spans="1:41">
      <c r="A171" s="20">
        <v>118151</v>
      </c>
      <c r="B171" s="20" t="s">
        <v>753</v>
      </c>
      <c r="C171" s="23" t="s">
        <v>138</v>
      </c>
      <c r="D171" s="23" t="s">
        <v>161</v>
      </c>
      <c r="E171" s="23" t="s">
        <v>23</v>
      </c>
      <c r="F171" s="23" t="s">
        <v>24</v>
      </c>
      <c r="G171" s="23" t="s">
        <v>749</v>
      </c>
      <c r="H171" s="23" t="s">
        <v>241</v>
      </c>
      <c r="I171" s="26" t="s">
        <v>130</v>
      </c>
      <c r="J171" s="23" t="s">
        <v>754</v>
      </c>
      <c r="K171" s="23" t="s">
        <v>755</v>
      </c>
      <c r="L171" s="23" t="s">
        <v>249</v>
      </c>
      <c r="M171" s="25" t="s">
        <v>31</v>
      </c>
      <c r="N171" s="23" t="s">
        <v>32</v>
      </c>
      <c r="O171" s="23" t="s">
        <v>197</v>
      </c>
      <c r="P171" s="23" t="s">
        <v>34</v>
      </c>
      <c r="Q171" s="27" t="str">
        <f>HYPERLINK("https://ovopark.oss-cn-hangzhou.aliyuncs.com/2022/06/25/image_1656138040192.jpg","查看图片")</f>
        <v>查看图片</v>
      </c>
      <c r="R171" s="23" t="s">
        <v>35</v>
      </c>
      <c r="S171" s="23" t="s">
        <v>756</v>
      </c>
      <c r="T171" s="23" t="s">
        <v>37</v>
      </c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1"/>
      <c r="AI171" s="20"/>
      <c r="AJ171" s="20"/>
      <c r="AK171" s="20"/>
      <c r="AL171" s="20"/>
      <c r="AM171" s="20"/>
      <c r="AN171" s="20"/>
      <c r="AO171" s="20"/>
    </row>
    <row r="172" s="17" customFormat="1" hidden="1" customHeight="1" spans="3:20">
      <c r="C172" s="23" t="s">
        <v>138</v>
      </c>
      <c r="D172" s="23" t="s">
        <v>156</v>
      </c>
      <c r="E172" s="23" t="s">
        <v>23</v>
      </c>
      <c r="F172" s="23" t="s">
        <v>24</v>
      </c>
      <c r="G172" s="23" t="s">
        <v>749</v>
      </c>
      <c r="H172" s="23" t="s">
        <v>241</v>
      </c>
      <c r="I172" s="26" t="s">
        <v>130</v>
      </c>
      <c r="J172" s="23" t="s">
        <v>757</v>
      </c>
      <c r="K172" s="23" t="s">
        <v>758</v>
      </c>
      <c r="L172" s="23" t="s">
        <v>249</v>
      </c>
      <c r="M172" s="23" t="s">
        <v>58</v>
      </c>
      <c r="N172" s="23" t="s">
        <v>32</v>
      </c>
      <c r="O172" s="23" t="s">
        <v>197</v>
      </c>
      <c r="P172" s="23" t="s">
        <v>34</v>
      </c>
      <c r="Q172" s="27" t="str">
        <f>HYPERLINK("https://ovopark.oss-cn-hangzhou.aliyuncs.com/2022/06/25/image_1656138082332.jpg","查看图片")</f>
        <v>查看图片</v>
      </c>
      <c r="R172" s="23" t="s">
        <v>35</v>
      </c>
      <c r="S172" s="23" t="s">
        <v>759</v>
      </c>
      <c r="T172" s="23" t="s">
        <v>37</v>
      </c>
    </row>
    <row r="173" s="17" customFormat="1" hidden="1" customHeight="1" spans="3:20">
      <c r="C173" s="23" t="s">
        <v>138</v>
      </c>
      <c r="D173" s="23" t="s">
        <v>152</v>
      </c>
      <c r="E173" s="23" t="s">
        <v>23</v>
      </c>
      <c r="F173" s="23" t="s">
        <v>24</v>
      </c>
      <c r="G173" s="23" t="s">
        <v>760</v>
      </c>
      <c r="H173" s="23" t="s">
        <v>241</v>
      </c>
      <c r="I173" s="26" t="s">
        <v>130</v>
      </c>
      <c r="J173" s="23" t="s">
        <v>761</v>
      </c>
      <c r="K173" s="23" t="s">
        <v>762</v>
      </c>
      <c r="L173" s="23" t="s">
        <v>249</v>
      </c>
      <c r="M173" s="23" t="s">
        <v>58</v>
      </c>
      <c r="N173" s="23" t="s">
        <v>32</v>
      </c>
      <c r="O173" s="23" t="s">
        <v>197</v>
      </c>
      <c r="P173" s="27" t="str">
        <f>HYPERLINK("https://ovopark.oss-cn-hangzhou.aliyuncs.com/OVOPARK/2022/06/21/1655797112546842.jpg?x-oss-process=image/resize,w_700,l_700","查看图片")</f>
        <v>查看图片</v>
      </c>
      <c r="Q173" s="27" t="str">
        <f>HYPERLINK("https://ovopark.oss-cn-hangzhou.aliyuncs.com/2022/06/25/image_1656138141009.jpg","查看图片")</f>
        <v>查看图片</v>
      </c>
      <c r="R173" s="23" t="s">
        <v>35</v>
      </c>
      <c r="S173" s="23" t="s">
        <v>763</v>
      </c>
      <c r="T173" s="23" t="s">
        <v>37</v>
      </c>
    </row>
    <row r="174" s="17" customFormat="1" hidden="1" customHeight="1" spans="3:20">
      <c r="C174" s="23" t="s">
        <v>138</v>
      </c>
      <c r="D174" s="23" t="s">
        <v>147</v>
      </c>
      <c r="E174" s="23" t="s">
        <v>23</v>
      </c>
      <c r="F174" s="23" t="s">
        <v>24</v>
      </c>
      <c r="G174" s="23" t="s">
        <v>760</v>
      </c>
      <c r="H174" s="23" t="s">
        <v>241</v>
      </c>
      <c r="I174" s="26" t="s">
        <v>130</v>
      </c>
      <c r="J174" s="23" t="s">
        <v>764</v>
      </c>
      <c r="K174" s="23" t="s">
        <v>765</v>
      </c>
      <c r="L174" s="23" t="s">
        <v>249</v>
      </c>
      <c r="M174" s="23" t="s">
        <v>58</v>
      </c>
      <c r="N174" s="23" t="s">
        <v>32</v>
      </c>
      <c r="O174" s="23" t="s">
        <v>197</v>
      </c>
      <c r="P174" s="27" t="str">
        <f>HYPERLINK("https://ovopark.oss-cn-hangzhou.aliyuncs.com/OVOPARK/2022/06/21/1655797112546842.jpg?x-oss-process=image/resize,w_700,l_700","查看图片")</f>
        <v>查看图片</v>
      </c>
      <c r="Q174" s="27" t="str">
        <f>HYPERLINK("https://ovopark.oss-cn-hangzhou.aliyuncs.com/2022/06/25/image_1656138163949.jpg","查看图片")</f>
        <v>查看图片</v>
      </c>
      <c r="R174" s="23" t="s">
        <v>35</v>
      </c>
      <c r="S174" s="23" t="s">
        <v>766</v>
      </c>
      <c r="T174" s="23" t="s">
        <v>37</v>
      </c>
    </row>
    <row r="175" s="17" customFormat="1" hidden="1" customHeight="1" spans="3:20">
      <c r="C175" s="23" t="s">
        <v>138</v>
      </c>
      <c r="D175" s="23" t="s">
        <v>168</v>
      </c>
      <c r="E175" s="23" t="s">
        <v>23</v>
      </c>
      <c r="F175" s="23" t="s">
        <v>24</v>
      </c>
      <c r="G175" s="23" t="s">
        <v>767</v>
      </c>
      <c r="H175" s="23" t="s">
        <v>241</v>
      </c>
      <c r="I175" s="26" t="s">
        <v>130</v>
      </c>
      <c r="J175" s="23" t="s">
        <v>768</v>
      </c>
      <c r="K175" s="23" t="s">
        <v>769</v>
      </c>
      <c r="L175" s="23" t="s">
        <v>249</v>
      </c>
      <c r="M175" s="23" t="s">
        <v>58</v>
      </c>
      <c r="N175" s="23" t="s">
        <v>32</v>
      </c>
      <c r="O175" s="23" t="s">
        <v>197</v>
      </c>
      <c r="P175" s="27" t="str">
        <f>HYPERLINK("https://ovopark.oss-cn-hangzhou.aliyuncs.com/OVOPARK/2022/06/20/1655711952381777.jpg?x-oss-process=image/resize,w_700,l_700","查看图片")</f>
        <v>查看图片</v>
      </c>
      <c r="Q175" s="27" t="str">
        <f>HYPERLINK("https://ovopark.oss-cn-hangzhou.aliyuncs.com/2022/06/25/image_1656138213954.jpg","查看图片")</f>
        <v>查看图片</v>
      </c>
      <c r="R175" s="23" t="s">
        <v>35</v>
      </c>
      <c r="S175" s="23" t="s">
        <v>770</v>
      </c>
      <c r="T175" s="23" t="s">
        <v>37</v>
      </c>
    </row>
    <row r="176" s="17" customFormat="1" customHeight="1" spans="1:41">
      <c r="A176" s="20">
        <v>745</v>
      </c>
      <c r="B176" s="20" t="s">
        <v>771</v>
      </c>
      <c r="C176" s="23" t="s">
        <v>138</v>
      </c>
      <c r="D176" s="23" t="s">
        <v>168</v>
      </c>
      <c r="E176" s="23" t="s">
        <v>23</v>
      </c>
      <c r="F176" s="23" t="s">
        <v>24</v>
      </c>
      <c r="G176" s="23" t="s">
        <v>772</v>
      </c>
      <c r="H176" s="23" t="s">
        <v>241</v>
      </c>
      <c r="I176" s="26" t="s">
        <v>130</v>
      </c>
      <c r="J176" s="23" t="s">
        <v>773</v>
      </c>
      <c r="K176" s="23" t="s">
        <v>774</v>
      </c>
      <c r="L176" s="23" t="s">
        <v>775</v>
      </c>
      <c r="M176" s="25" t="s">
        <v>31</v>
      </c>
      <c r="N176" s="23" t="s">
        <v>32</v>
      </c>
      <c r="O176" s="23" t="s">
        <v>197</v>
      </c>
      <c r="P176" s="23" t="s">
        <v>34</v>
      </c>
      <c r="Q176" s="27" t="str">
        <f>HYPERLINK("http://ovopark.oss-cn-hangzhou.aliyuncs.com/2884_75033729042715_image_1656204404217.jpg","查看图片")</f>
        <v>查看图片</v>
      </c>
      <c r="R176" s="23" t="s">
        <v>35</v>
      </c>
      <c r="S176" s="23" t="s">
        <v>776</v>
      </c>
      <c r="T176" s="23" t="s">
        <v>37</v>
      </c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1"/>
      <c r="AI176" s="20"/>
      <c r="AJ176" s="20"/>
      <c r="AK176" s="20"/>
      <c r="AL176" s="20"/>
      <c r="AM176" s="20"/>
      <c r="AN176" s="20"/>
      <c r="AO176" s="20"/>
    </row>
    <row r="177" s="17" customFormat="1" customHeight="1" spans="1:41">
      <c r="A177" s="20">
        <v>745</v>
      </c>
      <c r="B177" s="20" t="s">
        <v>771</v>
      </c>
      <c r="C177" s="23" t="s">
        <v>138</v>
      </c>
      <c r="D177" s="23" t="s">
        <v>147</v>
      </c>
      <c r="E177" s="23" t="s">
        <v>23</v>
      </c>
      <c r="F177" s="23" t="s">
        <v>24</v>
      </c>
      <c r="G177" s="23" t="s">
        <v>777</v>
      </c>
      <c r="H177" s="23" t="s">
        <v>241</v>
      </c>
      <c r="I177" s="26" t="s">
        <v>130</v>
      </c>
      <c r="J177" s="23" t="s">
        <v>778</v>
      </c>
      <c r="K177" s="23" t="s">
        <v>779</v>
      </c>
      <c r="L177" s="23" t="s">
        <v>775</v>
      </c>
      <c r="M177" s="25" t="s">
        <v>31</v>
      </c>
      <c r="N177" s="23" t="s">
        <v>32</v>
      </c>
      <c r="O177" s="23" t="s">
        <v>197</v>
      </c>
      <c r="P177" s="23" t="s">
        <v>34</v>
      </c>
      <c r="Q177" s="27" t="str">
        <f>HYPERLINK("http://ovopark.oss-cn-hangzhou.aliyuncs.com/2884_75051670736429_image_1656204422165.jpg","查看图片")</f>
        <v>查看图片</v>
      </c>
      <c r="R177" s="23" t="s">
        <v>35</v>
      </c>
      <c r="S177" s="23" t="s">
        <v>780</v>
      </c>
      <c r="T177" s="23" t="s">
        <v>37</v>
      </c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1"/>
      <c r="AI177" s="20"/>
      <c r="AJ177" s="20"/>
      <c r="AK177" s="20"/>
      <c r="AL177" s="20"/>
      <c r="AM177" s="20"/>
      <c r="AN177" s="20"/>
      <c r="AO177" s="20"/>
    </row>
    <row r="178" s="17" customFormat="1" customHeight="1" spans="1:41">
      <c r="A178" s="20">
        <v>745</v>
      </c>
      <c r="B178" s="20" t="s">
        <v>771</v>
      </c>
      <c r="C178" s="23" t="s">
        <v>138</v>
      </c>
      <c r="D178" s="23" t="s">
        <v>152</v>
      </c>
      <c r="E178" s="23" t="s">
        <v>23</v>
      </c>
      <c r="F178" s="23" t="s">
        <v>24</v>
      </c>
      <c r="G178" s="23" t="s">
        <v>777</v>
      </c>
      <c r="H178" s="23" t="s">
        <v>241</v>
      </c>
      <c r="I178" s="26" t="s">
        <v>130</v>
      </c>
      <c r="J178" s="23" t="s">
        <v>781</v>
      </c>
      <c r="K178" s="23" t="s">
        <v>782</v>
      </c>
      <c r="L178" s="23" t="s">
        <v>775</v>
      </c>
      <c r="M178" s="25" t="s">
        <v>31</v>
      </c>
      <c r="N178" s="23" t="s">
        <v>32</v>
      </c>
      <c r="O178" s="23" t="s">
        <v>197</v>
      </c>
      <c r="P178" s="23" t="s">
        <v>34</v>
      </c>
      <c r="Q178" s="27" t="str">
        <f>HYPERLINK("http://ovopark.oss-cn-hangzhou.aliyuncs.com/2884_75066532931087_image_1656204437209.jpg","查看图片")</f>
        <v>查看图片</v>
      </c>
      <c r="R178" s="23" t="s">
        <v>35</v>
      </c>
      <c r="S178" s="23" t="s">
        <v>783</v>
      </c>
      <c r="T178" s="23" t="s">
        <v>37</v>
      </c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1"/>
      <c r="AI178" s="20"/>
      <c r="AJ178" s="20"/>
      <c r="AK178" s="20"/>
      <c r="AL178" s="20"/>
      <c r="AM178" s="20"/>
      <c r="AN178" s="20"/>
      <c r="AO178" s="20"/>
    </row>
    <row r="179" s="17" customFormat="1" customHeight="1" spans="1:41">
      <c r="A179" s="20">
        <v>745</v>
      </c>
      <c r="B179" s="20" t="s">
        <v>771</v>
      </c>
      <c r="C179" s="23" t="s">
        <v>138</v>
      </c>
      <c r="D179" s="23" t="s">
        <v>156</v>
      </c>
      <c r="E179" s="23" t="s">
        <v>23</v>
      </c>
      <c r="F179" s="23" t="s">
        <v>24</v>
      </c>
      <c r="G179" s="23" t="s">
        <v>784</v>
      </c>
      <c r="H179" s="23" t="s">
        <v>241</v>
      </c>
      <c r="I179" s="26" t="s">
        <v>130</v>
      </c>
      <c r="J179" s="23" t="s">
        <v>785</v>
      </c>
      <c r="K179" s="23" t="s">
        <v>786</v>
      </c>
      <c r="L179" s="23" t="s">
        <v>775</v>
      </c>
      <c r="M179" s="25" t="s">
        <v>31</v>
      </c>
      <c r="N179" s="23" t="s">
        <v>32</v>
      </c>
      <c r="O179" s="23" t="s">
        <v>197</v>
      </c>
      <c r="P179" s="23" t="s">
        <v>34</v>
      </c>
      <c r="Q179" s="27" t="str">
        <f>HYPERLINK("http://ovopark.oss-cn-hangzhou.aliyuncs.com/2884_75086819047222_image_1656204457680.jpg","查看图片")</f>
        <v>查看图片</v>
      </c>
      <c r="R179" s="23" t="s">
        <v>35</v>
      </c>
      <c r="S179" s="23" t="s">
        <v>787</v>
      </c>
      <c r="T179" s="23" t="s">
        <v>37</v>
      </c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1"/>
      <c r="AI179" s="20"/>
      <c r="AJ179" s="20"/>
      <c r="AK179" s="20"/>
      <c r="AL179" s="20"/>
      <c r="AM179" s="20"/>
      <c r="AN179" s="20"/>
      <c r="AO179" s="20"/>
    </row>
    <row r="180" s="17" customFormat="1" customHeight="1" spans="1:41">
      <c r="A180" s="20">
        <v>745</v>
      </c>
      <c r="B180" s="20" t="s">
        <v>771</v>
      </c>
      <c r="C180" s="23" t="s">
        <v>138</v>
      </c>
      <c r="D180" s="23" t="s">
        <v>161</v>
      </c>
      <c r="E180" s="23" t="s">
        <v>23</v>
      </c>
      <c r="F180" s="23" t="s">
        <v>24</v>
      </c>
      <c r="G180" s="23" t="s">
        <v>784</v>
      </c>
      <c r="H180" s="23" t="s">
        <v>241</v>
      </c>
      <c r="I180" s="26" t="s">
        <v>130</v>
      </c>
      <c r="J180" s="23" t="s">
        <v>788</v>
      </c>
      <c r="K180" s="23" t="s">
        <v>789</v>
      </c>
      <c r="L180" s="23" t="s">
        <v>775</v>
      </c>
      <c r="M180" s="25" t="s">
        <v>31</v>
      </c>
      <c r="N180" s="23" t="s">
        <v>32</v>
      </c>
      <c r="O180" s="23" t="s">
        <v>197</v>
      </c>
      <c r="P180" s="23" t="s">
        <v>34</v>
      </c>
      <c r="Q180" s="27" t="str">
        <f>HYPERLINK("http://ovopark.oss-cn-hangzhou.aliyuncs.com/2884_75101318250333_image_1656204471893.jpg","查看图片")</f>
        <v>查看图片</v>
      </c>
      <c r="R180" s="23" t="s">
        <v>35</v>
      </c>
      <c r="S180" s="23" t="s">
        <v>790</v>
      </c>
      <c r="T180" s="23" t="s">
        <v>37</v>
      </c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1"/>
      <c r="AI180" s="20"/>
      <c r="AJ180" s="20"/>
      <c r="AK180" s="20"/>
      <c r="AL180" s="20"/>
      <c r="AM180" s="20"/>
      <c r="AN180" s="20"/>
      <c r="AO180" s="20"/>
    </row>
    <row r="181" s="17" customFormat="1" customHeight="1" spans="1:41">
      <c r="A181" s="20">
        <v>745</v>
      </c>
      <c r="B181" s="20" t="s">
        <v>771</v>
      </c>
      <c r="C181" s="23" t="s">
        <v>138</v>
      </c>
      <c r="D181" s="23" t="s">
        <v>139</v>
      </c>
      <c r="E181" s="23" t="s">
        <v>23</v>
      </c>
      <c r="F181" s="23" t="s">
        <v>24</v>
      </c>
      <c r="G181" s="23" t="s">
        <v>784</v>
      </c>
      <c r="H181" s="23" t="s">
        <v>241</v>
      </c>
      <c r="I181" s="26" t="s">
        <v>130</v>
      </c>
      <c r="J181" s="23" t="s">
        <v>791</v>
      </c>
      <c r="K181" s="23" t="s">
        <v>792</v>
      </c>
      <c r="L181" s="23" t="s">
        <v>775</v>
      </c>
      <c r="M181" s="25" t="s">
        <v>31</v>
      </c>
      <c r="N181" s="23" t="s">
        <v>32</v>
      </c>
      <c r="O181" s="23" t="s">
        <v>197</v>
      </c>
      <c r="P181" s="23" t="s">
        <v>34</v>
      </c>
      <c r="Q181" s="27" t="str">
        <f>HYPERLINK("http://ovopark.oss-cn-hangzhou.aliyuncs.com/2884_75119253118578_image_1656204490044.jpg","查看图片")</f>
        <v>查看图片</v>
      </c>
      <c r="R181" s="23" t="s">
        <v>35</v>
      </c>
      <c r="S181" s="23" t="s">
        <v>793</v>
      </c>
      <c r="T181" s="23" t="s">
        <v>37</v>
      </c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1"/>
      <c r="AI181" s="20"/>
      <c r="AJ181" s="20"/>
      <c r="AK181" s="20"/>
      <c r="AL181" s="20"/>
      <c r="AM181" s="20"/>
      <c r="AN181" s="20"/>
      <c r="AO181" s="20"/>
    </row>
    <row r="182" s="17" customFormat="1" customHeight="1" spans="1:41">
      <c r="A182" s="20">
        <v>367</v>
      </c>
      <c r="B182" s="20" t="s">
        <v>311</v>
      </c>
      <c r="C182" s="23" t="s">
        <v>21</v>
      </c>
      <c r="D182" s="23" t="s">
        <v>22</v>
      </c>
      <c r="E182" s="23" t="s">
        <v>23</v>
      </c>
      <c r="F182" s="23" t="s">
        <v>24</v>
      </c>
      <c r="G182" s="23" t="s">
        <v>794</v>
      </c>
      <c r="H182" s="23" t="s">
        <v>45</v>
      </c>
      <c r="I182" s="26" t="s">
        <v>46</v>
      </c>
      <c r="J182" s="23" t="s">
        <v>795</v>
      </c>
      <c r="K182" s="23" t="s">
        <v>796</v>
      </c>
      <c r="L182" s="23" t="s">
        <v>315</v>
      </c>
      <c r="M182" s="25" t="s">
        <v>31</v>
      </c>
      <c r="N182" s="23" t="s">
        <v>32</v>
      </c>
      <c r="O182" s="23" t="s">
        <v>33</v>
      </c>
      <c r="P182" s="23" t="s">
        <v>34</v>
      </c>
      <c r="Q182" s="27" t="str">
        <f>HYPERLINK("https://ovopark.oss-cn-hangzhou.aliyuncs.com/2022/06/25/0_62_20220625114905_3022.jpeg","查看图片")</f>
        <v>查看图片</v>
      </c>
      <c r="R182" s="23" t="s">
        <v>35</v>
      </c>
      <c r="S182" s="23" t="s">
        <v>797</v>
      </c>
      <c r="T182" s="23" t="s">
        <v>37</v>
      </c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1"/>
      <c r="AI182" s="20"/>
      <c r="AJ182" s="20"/>
      <c r="AK182" s="20"/>
      <c r="AL182" s="20"/>
      <c r="AM182" s="20"/>
      <c r="AN182" s="20"/>
      <c r="AO182" s="20"/>
    </row>
    <row r="183" s="17" customFormat="1" hidden="1" customHeight="1" spans="3:20">
      <c r="C183" s="23" t="s">
        <v>798</v>
      </c>
      <c r="D183" s="23" t="s">
        <v>799</v>
      </c>
      <c r="E183" s="23" t="s">
        <v>23</v>
      </c>
      <c r="F183" s="23" t="s">
        <v>800</v>
      </c>
      <c r="G183" s="23" t="s">
        <v>801</v>
      </c>
      <c r="H183" s="23" t="s">
        <v>241</v>
      </c>
      <c r="I183" s="26" t="s">
        <v>130</v>
      </c>
      <c r="J183" s="23" t="s">
        <v>802</v>
      </c>
      <c r="K183" s="26" t="s">
        <v>463</v>
      </c>
      <c r="L183" s="23" t="s">
        <v>725</v>
      </c>
      <c r="M183" s="23" t="s">
        <v>58</v>
      </c>
      <c r="N183" s="23" t="s">
        <v>803</v>
      </c>
      <c r="O183" s="23" t="s">
        <v>803</v>
      </c>
      <c r="P183" s="27" t="str">
        <f>HYPERLINK("https://ovopark.oss-cn-hangzhou.aliyuncs.com/2022/06/22/0_62_20220622141937_9055.png?x-oss-process=image/resize,w_700,l_700","查看图片")</f>
        <v>查看图片</v>
      </c>
      <c r="Q183" s="23" t="s">
        <v>34</v>
      </c>
      <c r="R183" s="23" t="s">
        <v>60</v>
      </c>
      <c r="S183" s="23" t="s">
        <v>804</v>
      </c>
      <c r="T183" s="23" t="s">
        <v>37</v>
      </c>
    </row>
    <row r="184" s="17" customFormat="1" hidden="1" customHeight="1" spans="3:20">
      <c r="C184" s="23" t="s">
        <v>805</v>
      </c>
      <c r="D184" s="23" t="s">
        <v>806</v>
      </c>
      <c r="E184" s="23" t="s">
        <v>23</v>
      </c>
      <c r="F184" s="23" t="s">
        <v>800</v>
      </c>
      <c r="G184" s="23" t="s">
        <v>801</v>
      </c>
      <c r="H184" s="23" t="s">
        <v>241</v>
      </c>
      <c r="I184" s="26" t="s">
        <v>130</v>
      </c>
      <c r="J184" s="23" t="s">
        <v>807</v>
      </c>
      <c r="K184" s="26" t="s">
        <v>463</v>
      </c>
      <c r="L184" s="23" t="s">
        <v>725</v>
      </c>
      <c r="M184" s="23" t="s">
        <v>58</v>
      </c>
      <c r="N184" s="23" t="s">
        <v>803</v>
      </c>
      <c r="O184" s="23" t="s">
        <v>803</v>
      </c>
      <c r="P184" s="23" t="s">
        <v>34</v>
      </c>
      <c r="Q184" s="23" t="s">
        <v>34</v>
      </c>
      <c r="R184" s="23" t="s">
        <v>60</v>
      </c>
      <c r="S184" s="23" t="s">
        <v>808</v>
      </c>
      <c r="T184" s="23" t="s">
        <v>37</v>
      </c>
    </row>
    <row r="185" s="17" customFormat="1" hidden="1" customHeight="1" spans="3:20">
      <c r="C185" s="23" t="s">
        <v>805</v>
      </c>
      <c r="D185" s="23" t="s">
        <v>809</v>
      </c>
      <c r="E185" s="23" t="s">
        <v>23</v>
      </c>
      <c r="F185" s="23" t="s">
        <v>800</v>
      </c>
      <c r="G185" s="23" t="s">
        <v>801</v>
      </c>
      <c r="H185" s="23" t="s">
        <v>241</v>
      </c>
      <c r="I185" s="26" t="s">
        <v>130</v>
      </c>
      <c r="J185" s="23" t="s">
        <v>810</v>
      </c>
      <c r="K185" s="26" t="s">
        <v>463</v>
      </c>
      <c r="L185" s="23" t="s">
        <v>725</v>
      </c>
      <c r="M185" s="23" t="s">
        <v>58</v>
      </c>
      <c r="N185" s="23" t="s">
        <v>803</v>
      </c>
      <c r="O185" s="23" t="s">
        <v>803</v>
      </c>
      <c r="P185" s="23" t="s">
        <v>34</v>
      </c>
      <c r="Q185" s="23" t="s">
        <v>34</v>
      </c>
      <c r="R185" s="23" t="s">
        <v>60</v>
      </c>
      <c r="S185" s="23" t="s">
        <v>811</v>
      </c>
      <c r="T185" s="23" t="s">
        <v>37</v>
      </c>
    </row>
    <row r="186" s="17" customFormat="1" hidden="1" customHeight="1" spans="3:20">
      <c r="C186" s="23" t="s">
        <v>812</v>
      </c>
      <c r="D186" s="23" t="s">
        <v>813</v>
      </c>
      <c r="E186" s="23" t="s">
        <v>23</v>
      </c>
      <c r="F186" s="23" t="s">
        <v>800</v>
      </c>
      <c r="G186" s="23" t="s">
        <v>814</v>
      </c>
      <c r="H186" s="23" t="s">
        <v>241</v>
      </c>
      <c r="I186" s="26" t="s">
        <v>130</v>
      </c>
      <c r="J186" s="23" t="s">
        <v>815</v>
      </c>
      <c r="K186" s="26" t="s">
        <v>463</v>
      </c>
      <c r="L186" s="23" t="s">
        <v>816</v>
      </c>
      <c r="M186" s="23" t="s">
        <v>58</v>
      </c>
      <c r="N186" s="23" t="s">
        <v>803</v>
      </c>
      <c r="O186" s="23" t="s">
        <v>803</v>
      </c>
      <c r="P186" s="27" t="str">
        <f>HYPERLINK("https://ovopark.oss-cn-hangzhou.aliyuncs.com/2022/06/22/0_62_20220622163040_9582.png?x-oss-process=image/resize,w_700,l_700","查看图片")</f>
        <v>查看图片</v>
      </c>
      <c r="Q186" s="23" t="s">
        <v>34</v>
      </c>
      <c r="R186" s="23" t="s">
        <v>60</v>
      </c>
      <c r="S186" s="23" t="s">
        <v>817</v>
      </c>
      <c r="T186" s="23" t="s">
        <v>37</v>
      </c>
    </row>
    <row r="187" s="17" customFormat="1" hidden="1" customHeight="1" spans="3:20">
      <c r="C187" s="23" t="s">
        <v>818</v>
      </c>
      <c r="D187" s="23" t="s">
        <v>66</v>
      </c>
      <c r="E187" s="23" t="s">
        <v>23</v>
      </c>
      <c r="F187" s="23" t="s">
        <v>800</v>
      </c>
      <c r="G187" s="23" t="s">
        <v>814</v>
      </c>
      <c r="H187" s="23" t="s">
        <v>241</v>
      </c>
      <c r="I187" s="26" t="s">
        <v>130</v>
      </c>
      <c r="J187" s="23" t="s">
        <v>819</v>
      </c>
      <c r="K187" s="26" t="s">
        <v>463</v>
      </c>
      <c r="L187" s="23" t="s">
        <v>816</v>
      </c>
      <c r="M187" s="23" t="s">
        <v>58</v>
      </c>
      <c r="N187" s="23" t="s">
        <v>803</v>
      </c>
      <c r="O187" s="23" t="s">
        <v>803</v>
      </c>
      <c r="P187" s="27" t="str">
        <f>HYPERLINK("https://ovopark.oss-cn-hangzhou.aliyuncs.com/2022/06/22/0_62_20220622163339_9888.png?x-oss-process=image/resize,w_700,l_700","查看图片")</f>
        <v>查看图片</v>
      </c>
      <c r="Q187" s="23" t="s">
        <v>34</v>
      </c>
      <c r="R187" s="23" t="s">
        <v>60</v>
      </c>
      <c r="S187" s="23" t="s">
        <v>820</v>
      </c>
      <c r="T187" s="23" t="s">
        <v>37</v>
      </c>
    </row>
    <row r="188" s="17" customFormat="1" hidden="1" customHeight="1" spans="3:20">
      <c r="C188" s="23" t="s">
        <v>798</v>
      </c>
      <c r="D188" s="23" t="s">
        <v>799</v>
      </c>
      <c r="E188" s="23" t="s">
        <v>23</v>
      </c>
      <c r="F188" s="23" t="s">
        <v>800</v>
      </c>
      <c r="G188" s="23" t="s">
        <v>814</v>
      </c>
      <c r="H188" s="23" t="s">
        <v>241</v>
      </c>
      <c r="I188" s="26" t="s">
        <v>130</v>
      </c>
      <c r="J188" s="23" t="s">
        <v>821</v>
      </c>
      <c r="K188" s="26" t="s">
        <v>463</v>
      </c>
      <c r="L188" s="23" t="s">
        <v>816</v>
      </c>
      <c r="M188" s="23" t="s">
        <v>58</v>
      </c>
      <c r="N188" s="23" t="s">
        <v>803</v>
      </c>
      <c r="O188" s="23" t="s">
        <v>803</v>
      </c>
      <c r="P188" s="27" t="str">
        <f>HYPERLINK("https://ovopark.oss-cn-hangzhou.aliyuncs.com/2022/06/22/0_62_20220622163630_9858.png?x-oss-process=image/resize,w_700,l_700","查看图片")</f>
        <v>查看图片</v>
      </c>
      <c r="Q188" s="23" t="s">
        <v>34</v>
      </c>
      <c r="R188" s="23" t="s">
        <v>60</v>
      </c>
      <c r="S188" s="23" t="s">
        <v>822</v>
      </c>
      <c r="T188" s="23" t="s">
        <v>37</v>
      </c>
    </row>
    <row r="189" s="17" customFormat="1" hidden="1" customHeight="1" spans="3:20">
      <c r="C189" s="23" t="s">
        <v>798</v>
      </c>
      <c r="D189" s="23" t="s">
        <v>823</v>
      </c>
      <c r="E189" s="23" t="s">
        <v>23</v>
      </c>
      <c r="F189" s="23" t="s">
        <v>800</v>
      </c>
      <c r="G189" s="23" t="s">
        <v>824</v>
      </c>
      <c r="H189" s="23" t="s">
        <v>241</v>
      </c>
      <c r="I189" s="26" t="s">
        <v>130</v>
      </c>
      <c r="J189" s="23" t="s">
        <v>825</v>
      </c>
      <c r="K189" s="26" t="s">
        <v>463</v>
      </c>
      <c r="L189" s="23" t="s">
        <v>826</v>
      </c>
      <c r="M189" s="23" t="s">
        <v>58</v>
      </c>
      <c r="N189" s="23" t="s">
        <v>803</v>
      </c>
      <c r="O189" s="23" t="s">
        <v>803</v>
      </c>
      <c r="P189" s="23" t="s">
        <v>34</v>
      </c>
      <c r="Q189" s="23" t="s">
        <v>34</v>
      </c>
      <c r="R189" s="23" t="s">
        <v>60</v>
      </c>
      <c r="S189" s="23" t="s">
        <v>827</v>
      </c>
      <c r="T189" s="23" t="s">
        <v>37</v>
      </c>
    </row>
    <row r="190" s="17" customFormat="1" hidden="1" customHeight="1" spans="3:20">
      <c r="C190" s="23" t="s">
        <v>798</v>
      </c>
      <c r="D190" s="23" t="s">
        <v>828</v>
      </c>
      <c r="E190" s="23" t="s">
        <v>23</v>
      </c>
      <c r="F190" s="23" t="s">
        <v>800</v>
      </c>
      <c r="G190" s="23" t="s">
        <v>824</v>
      </c>
      <c r="H190" s="23" t="s">
        <v>241</v>
      </c>
      <c r="I190" s="26" t="s">
        <v>130</v>
      </c>
      <c r="J190" s="23" t="s">
        <v>829</v>
      </c>
      <c r="K190" s="26" t="s">
        <v>463</v>
      </c>
      <c r="L190" s="23" t="s">
        <v>826</v>
      </c>
      <c r="M190" s="23" t="s">
        <v>58</v>
      </c>
      <c r="N190" s="23" t="s">
        <v>803</v>
      </c>
      <c r="O190" s="23" t="s">
        <v>803</v>
      </c>
      <c r="P190" s="27" t="str">
        <f>HYPERLINK("https://ovopark.oss-cn-hangzhou.aliyuncs.com/2022/06/22/0_62_20220622091633_9060.png?x-oss-process=image/resize,w_700,l_700","查看图片")</f>
        <v>查看图片</v>
      </c>
      <c r="Q190" s="23" t="s">
        <v>34</v>
      </c>
      <c r="R190" s="23" t="s">
        <v>60</v>
      </c>
      <c r="S190" s="23" t="s">
        <v>830</v>
      </c>
      <c r="T190" s="23" t="s">
        <v>37</v>
      </c>
    </row>
    <row r="191" s="17" customFormat="1" hidden="1" customHeight="1" spans="3:20">
      <c r="C191" s="23" t="s">
        <v>798</v>
      </c>
      <c r="D191" s="23" t="s">
        <v>799</v>
      </c>
      <c r="E191" s="23" t="s">
        <v>23</v>
      </c>
      <c r="F191" s="23" t="s">
        <v>800</v>
      </c>
      <c r="G191" s="23" t="s">
        <v>824</v>
      </c>
      <c r="H191" s="23" t="s">
        <v>241</v>
      </c>
      <c r="I191" s="26" t="s">
        <v>130</v>
      </c>
      <c r="J191" s="23" t="s">
        <v>831</v>
      </c>
      <c r="K191" s="26" t="s">
        <v>463</v>
      </c>
      <c r="L191" s="23" t="s">
        <v>826</v>
      </c>
      <c r="M191" s="23" t="s">
        <v>58</v>
      </c>
      <c r="N191" s="23" t="s">
        <v>803</v>
      </c>
      <c r="O191" s="23" t="s">
        <v>803</v>
      </c>
      <c r="P191" s="27" t="str">
        <f>HYPERLINK("https://ovopark.oss-cn-hangzhou.aliyuncs.com/2022/06/22/0_62_20220622091708_9853.png?x-oss-process=image/resize,w_700,l_700","查看图片")</f>
        <v>查看图片</v>
      </c>
      <c r="Q191" s="23" t="s">
        <v>34</v>
      </c>
      <c r="R191" s="23" t="s">
        <v>60</v>
      </c>
      <c r="S191" s="23" t="s">
        <v>832</v>
      </c>
      <c r="T191" s="23" t="s">
        <v>37</v>
      </c>
    </row>
    <row r="192" s="17" customFormat="1" hidden="1" customHeight="1" spans="3:20">
      <c r="C192" s="23" t="s">
        <v>833</v>
      </c>
      <c r="D192" s="23" t="s">
        <v>834</v>
      </c>
      <c r="E192" s="23" t="s">
        <v>23</v>
      </c>
      <c r="F192" s="23" t="s">
        <v>800</v>
      </c>
      <c r="G192" s="23" t="s">
        <v>824</v>
      </c>
      <c r="H192" s="23" t="s">
        <v>241</v>
      </c>
      <c r="I192" s="26" t="s">
        <v>130</v>
      </c>
      <c r="J192" s="23" t="s">
        <v>835</v>
      </c>
      <c r="K192" s="26" t="s">
        <v>463</v>
      </c>
      <c r="L192" s="23" t="s">
        <v>826</v>
      </c>
      <c r="M192" s="23" t="s">
        <v>58</v>
      </c>
      <c r="N192" s="23" t="s">
        <v>803</v>
      </c>
      <c r="O192" s="23" t="s">
        <v>803</v>
      </c>
      <c r="P192" s="23" t="s">
        <v>34</v>
      </c>
      <c r="Q192" s="23" t="s">
        <v>34</v>
      </c>
      <c r="R192" s="23" t="s">
        <v>60</v>
      </c>
      <c r="S192" s="23" t="s">
        <v>836</v>
      </c>
      <c r="T192" s="23" t="s">
        <v>37</v>
      </c>
    </row>
    <row r="193" s="17" customFormat="1" hidden="1" customHeight="1" spans="3:20">
      <c r="C193" s="23" t="s">
        <v>837</v>
      </c>
      <c r="D193" s="23" t="s">
        <v>838</v>
      </c>
      <c r="E193" s="23" t="s">
        <v>23</v>
      </c>
      <c r="F193" s="23" t="s">
        <v>800</v>
      </c>
      <c r="G193" s="23" t="s">
        <v>824</v>
      </c>
      <c r="H193" s="23" t="s">
        <v>241</v>
      </c>
      <c r="I193" s="26" t="s">
        <v>130</v>
      </c>
      <c r="J193" s="23" t="s">
        <v>839</v>
      </c>
      <c r="K193" s="26" t="s">
        <v>463</v>
      </c>
      <c r="L193" s="23" t="s">
        <v>826</v>
      </c>
      <c r="M193" s="23" t="s">
        <v>58</v>
      </c>
      <c r="N193" s="23" t="s">
        <v>803</v>
      </c>
      <c r="O193" s="23" t="s">
        <v>803</v>
      </c>
      <c r="P193" s="23" t="s">
        <v>34</v>
      </c>
      <c r="Q193" s="23" t="s">
        <v>34</v>
      </c>
      <c r="R193" s="23" t="s">
        <v>60</v>
      </c>
      <c r="S193" s="23" t="s">
        <v>840</v>
      </c>
      <c r="T193" s="23" t="s">
        <v>37</v>
      </c>
    </row>
    <row r="194" s="17" customFormat="1" hidden="1" customHeight="1" spans="3:20">
      <c r="C194" s="23" t="s">
        <v>805</v>
      </c>
      <c r="D194" s="23" t="s">
        <v>806</v>
      </c>
      <c r="E194" s="23" t="s">
        <v>23</v>
      </c>
      <c r="F194" s="23" t="s">
        <v>800</v>
      </c>
      <c r="G194" s="23" t="s">
        <v>824</v>
      </c>
      <c r="H194" s="23" t="s">
        <v>241</v>
      </c>
      <c r="I194" s="26" t="s">
        <v>130</v>
      </c>
      <c r="J194" s="23" t="s">
        <v>841</v>
      </c>
      <c r="K194" s="26" t="s">
        <v>463</v>
      </c>
      <c r="L194" s="23" t="s">
        <v>826</v>
      </c>
      <c r="M194" s="23" t="s">
        <v>58</v>
      </c>
      <c r="N194" s="23" t="s">
        <v>803</v>
      </c>
      <c r="O194" s="23" t="s">
        <v>803</v>
      </c>
      <c r="P194" s="23" t="s">
        <v>34</v>
      </c>
      <c r="Q194" s="23" t="s">
        <v>34</v>
      </c>
      <c r="R194" s="23" t="s">
        <v>60</v>
      </c>
      <c r="S194" s="23" t="s">
        <v>842</v>
      </c>
      <c r="T194" s="23" t="s">
        <v>37</v>
      </c>
    </row>
    <row r="195" s="17" customFormat="1" hidden="1" customHeight="1" spans="3:20">
      <c r="C195" s="23" t="s">
        <v>805</v>
      </c>
      <c r="D195" s="23" t="s">
        <v>809</v>
      </c>
      <c r="E195" s="23" t="s">
        <v>23</v>
      </c>
      <c r="F195" s="23" t="s">
        <v>800</v>
      </c>
      <c r="G195" s="23" t="s">
        <v>824</v>
      </c>
      <c r="H195" s="23" t="s">
        <v>241</v>
      </c>
      <c r="I195" s="26" t="s">
        <v>130</v>
      </c>
      <c r="J195" s="23" t="s">
        <v>843</v>
      </c>
      <c r="K195" s="26" t="s">
        <v>463</v>
      </c>
      <c r="L195" s="23" t="s">
        <v>826</v>
      </c>
      <c r="M195" s="23" t="s">
        <v>58</v>
      </c>
      <c r="N195" s="23" t="s">
        <v>803</v>
      </c>
      <c r="O195" s="23" t="s">
        <v>803</v>
      </c>
      <c r="P195" s="23" t="s">
        <v>34</v>
      </c>
      <c r="Q195" s="23" t="s">
        <v>34</v>
      </c>
      <c r="R195" s="23" t="s">
        <v>60</v>
      </c>
      <c r="S195" s="23" t="s">
        <v>844</v>
      </c>
      <c r="T195" s="23" t="s">
        <v>37</v>
      </c>
    </row>
    <row r="196" s="17" customFormat="1" hidden="1" customHeight="1" spans="3:20">
      <c r="C196" s="23" t="s">
        <v>845</v>
      </c>
      <c r="D196" s="23" t="s">
        <v>846</v>
      </c>
      <c r="E196" s="23" t="s">
        <v>23</v>
      </c>
      <c r="F196" s="23" t="s">
        <v>800</v>
      </c>
      <c r="G196" s="23" t="s">
        <v>801</v>
      </c>
      <c r="H196" s="23" t="s">
        <v>241</v>
      </c>
      <c r="I196" s="26" t="s">
        <v>130</v>
      </c>
      <c r="J196" s="23" t="s">
        <v>847</v>
      </c>
      <c r="K196" s="26" t="s">
        <v>463</v>
      </c>
      <c r="L196" s="23" t="s">
        <v>725</v>
      </c>
      <c r="M196" s="23" t="s">
        <v>58</v>
      </c>
      <c r="N196" s="23" t="s">
        <v>803</v>
      </c>
      <c r="O196" s="23" t="s">
        <v>803</v>
      </c>
      <c r="P196" s="23" t="s">
        <v>34</v>
      </c>
      <c r="Q196" s="23" t="s">
        <v>34</v>
      </c>
      <c r="R196" s="23" t="s">
        <v>60</v>
      </c>
      <c r="S196" s="23" t="s">
        <v>848</v>
      </c>
      <c r="T196" s="23" t="s">
        <v>37</v>
      </c>
    </row>
    <row r="197" s="17" customFormat="1" hidden="1" customHeight="1" spans="3:20">
      <c r="C197" s="23" t="s">
        <v>818</v>
      </c>
      <c r="D197" s="23" t="s">
        <v>849</v>
      </c>
      <c r="E197" s="23" t="s">
        <v>23</v>
      </c>
      <c r="F197" s="23" t="s">
        <v>800</v>
      </c>
      <c r="G197" s="23" t="s">
        <v>801</v>
      </c>
      <c r="H197" s="23" t="s">
        <v>241</v>
      </c>
      <c r="I197" s="26" t="s">
        <v>130</v>
      </c>
      <c r="J197" s="23" t="s">
        <v>850</v>
      </c>
      <c r="K197" s="26" t="s">
        <v>463</v>
      </c>
      <c r="L197" s="23" t="s">
        <v>725</v>
      </c>
      <c r="M197" s="23" t="s">
        <v>58</v>
      </c>
      <c r="N197" s="23" t="s">
        <v>803</v>
      </c>
      <c r="O197" s="23" t="s">
        <v>803</v>
      </c>
      <c r="P197" s="27" t="str">
        <f>HYPERLINK("https://ovopark.oss-cn-hangzhou.aliyuncs.com/2022/06/22/0_62_20220622153511_819.png?x-oss-process=image/resize,w_700,l_700","查看图片")</f>
        <v>查看图片</v>
      </c>
      <c r="Q197" s="23" t="s">
        <v>34</v>
      </c>
      <c r="R197" s="23" t="s">
        <v>60</v>
      </c>
      <c r="S197" s="23" t="s">
        <v>851</v>
      </c>
      <c r="T197" s="23" t="s">
        <v>37</v>
      </c>
    </row>
    <row r="198" s="17" customFormat="1" hidden="1" customHeight="1" spans="3:20">
      <c r="C198" s="23" t="s">
        <v>818</v>
      </c>
      <c r="D198" s="23" t="s">
        <v>66</v>
      </c>
      <c r="E198" s="23" t="s">
        <v>23</v>
      </c>
      <c r="F198" s="23" t="s">
        <v>800</v>
      </c>
      <c r="G198" s="23" t="s">
        <v>801</v>
      </c>
      <c r="H198" s="23" t="s">
        <v>241</v>
      </c>
      <c r="I198" s="26" t="s">
        <v>130</v>
      </c>
      <c r="J198" s="23" t="s">
        <v>852</v>
      </c>
      <c r="K198" s="26" t="s">
        <v>463</v>
      </c>
      <c r="L198" s="23" t="s">
        <v>725</v>
      </c>
      <c r="M198" s="23" t="s">
        <v>58</v>
      </c>
      <c r="N198" s="23" t="s">
        <v>803</v>
      </c>
      <c r="O198" s="23" t="s">
        <v>803</v>
      </c>
      <c r="P198" s="27" t="str">
        <f>HYPERLINK("https://ovopark.oss-cn-hangzhou.aliyuncs.com/2022/06/22/0_62_20220622140710_3101.png?x-oss-process=image/resize,w_700,l_700","查看图片")</f>
        <v>查看图片</v>
      </c>
      <c r="Q198" s="23" t="s">
        <v>34</v>
      </c>
      <c r="R198" s="23" t="s">
        <v>60</v>
      </c>
      <c r="S198" s="23" t="s">
        <v>853</v>
      </c>
      <c r="T198" s="23" t="s">
        <v>37</v>
      </c>
    </row>
    <row r="199" s="17" customFormat="1" hidden="1" customHeight="1" spans="3:20">
      <c r="C199" s="23" t="s">
        <v>798</v>
      </c>
      <c r="D199" s="23" t="s">
        <v>828</v>
      </c>
      <c r="E199" s="23" t="s">
        <v>23</v>
      </c>
      <c r="F199" s="23" t="s">
        <v>800</v>
      </c>
      <c r="G199" s="23" t="s">
        <v>801</v>
      </c>
      <c r="H199" s="23" t="s">
        <v>241</v>
      </c>
      <c r="I199" s="26" t="s">
        <v>130</v>
      </c>
      <c r="J199" s="23" t="s">
        <v>854</v>
      </c>
      <c r="K199" s="26" t="s">
        <v>463</v>
      </c>
      <c r="L199" s="23" t="s">
        <v>725</v>
      </c>
      <c r="M199" s="23" t="s">
        <v>58</v>
      </c>
      <c r="N199" s="23" t="s">
        <v>803</v>
      </c>
      <c r="O199" s="23" t="s">
        <v>803</v>
      </c>
      <c r="P199" s="27" t="str">
        <f>HYPERLINK("https://ovopark.oss-cn-hangzhou.aliyuncs.com/2022/06/22/0_62_20220622143734_3885.png?x-oss-process=image/resize,w_700,l_700","查看图片")</f>
        <v>查看图片</v>
      </c>
      <c r="Q199" s="23" t="s">
        <v>34</v>
      </c>
      <c r="R199" s="23" t="s">
        <v>60</v>
      </c>
      <c r="S199" s="23" t="s">
        <v>855</v>
      </c>
      <c r="T199" s="23" t="s">
        <v>37</v>
      </c>
    </row>
    <row r="200" s="17" customFormat="1" customHeight="1" spans="1:41">
      <c r="A200" s="20">
        <v>709</v>
      </c>
      <c r="B200" s="20" t="s">
        <v>856</v>
      </c>
      <c r="C200" s="23" t="s">
        <v>138</v>
      </c>
      <c r="D200" s="23" t="s">
        <v>152</v>
      </c>
      <c r="E200" s="23" t="s">
        <v>23</v>
      </c>
      <c r="F200" s="23" t="s">
        <v>24</v>
      </c>
      <c r="G200" s="23" t="s">
        <v>857</v>
      </c>
      <c r="H200" s="23" t="s">
        <v>858</v>
      </c>
      <c r="I200" s="26" t="s">
        <v>859</v>
      </c>
      <c r="J200" s="23" t="s">
        <v>860</v>
      </c>
      <c r="K200" s="23" t="s">
        <v>861</v>
      </c>
      <c r="L200" s="23" t="s">
        <v>862</v>
      </c>
      <c r="M200" s="25" t="s">
        <v>31</v>
      </c>
      <c r="N200" s="23" t="s">
        <v>32</v>
      </c>
      <c r="O200" s="23" t="s">
        <v>863</v>
      </c>
      <c r="P200" s="23" t="s">
        <v>34</v>
      </c>
      <c r="Q200" s="27" t="str">
        <f>HYPERLINK("https://ovopark.oss-cn-hangzhou.aliyuncs.com/2022/06/25/image_1656129862063.jpg","查看图片")</f>
        <v>查看图片</v>
      </c>
      <c r="R200" s="23" t="s">
        <v>35</v>
      </c>
      <c r="S200" s="23" t="s">
        <v>864</v>
      </c>
      <c r="T200" s="23" t="s">
        <v>37</v>
      </c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1"/>
      <c r="AI200" s="20"/>
      <c r="AJ200" s="20"/>
      <c r="AK200" s="20"/>
      <c r="AL200" s="20"/>
      <c r="AM200" s="20"/>
      <c r="AN200" s="20"/>
      <c r="AO200" s="20"/>
    </row>
    <row r="201" s="17" customFormat="1" customHeight="1" spans="1:41">
      <c r="A201" s="20">
        <v>709</v>
      </c>
      <c r="B201" s="20" t="s">
        <v>856</v>
      </c>
      <c r="C201" s="23" t="s">
        <v>138</v>
      </c>
      <c r="D201" s="23" t="s">
        <v>156</v>
      </c>
      <c r="E201" s="23" t="s">
        <v>23</v>
      </c>
      <c r="F201" s="23" t="s">
        <v>24</v>
      </c>
      <c r="G201" s="23" t="s">
        <v>865</v>
      </c>
      <c r="H201" s="23" t="s">
        <v>858</v>
      </c>
      <c r="I201" s="26" t="s">
        <v>859</v>
      </c>
      <c r="J201" s="23" t="s">
        <v>866</v>
      </c>
      <c r="K201" s="23" t="s">
        <v>867</v>
      </c>
      <c r="L201" s="23" t="s">
        <v>862</v>
      </c>
      <c r="M201" s="25" t="s">
        <v>31</v>
      </c>
      <c r="N201" s="23" t="s">
        <v>32</v>
      </c>
      <c r="O201" s="23" t="s">
        <v>863</v>
      </c>
      <c r="P201" s="23" t="s">
        <v>34</v>
      </c>
      <c r="Q201" s="27" t="str">
        <f>HYPERLINK("https://ovopark.oss-cn-hangzhou.aliyuncs.com/2022/06/25/image_1656129900238.jpg","查看图片")</f>
        <v>查看图片</v>
      </c>
      <c r="R201" s="23" t="s">
        <v>35</v>
      </c>
      <c r="S201" s="23" t="s">
        <v>868</v>
      </c>
      <c r="T201" s="23" t="s">
        <v>37</v>
      </c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1"/>
      <c r="AI201" s="20"/>
      <c r="AJ201" s="20"/>
      <c r="AK201" s="20"/>
      <c r="AL201" s="20"/>
      <c r="AM201" s="20"/>
      <c r="AN201" s="20"/>
      <c r="AO201" s="20"/>
    </row>
    <row r="202" s="17" customFormat="1" customHeight="1" spans="1:41">
      <c r="A202" s="20">
        <v>709</v>
      </c>
      <c r="B202" s="20" t="s">
        <v>856</v>
      </c>
      <c r="C202" s="23" t="s">
        <v>138</v>
      </c>
      <c r="D202" s="23" t="s">
        <v>161</v>
      </c>
      <c r="E202" s="23" t="s">
        <v>23</v>
      </c>
      <c r="F202" s="23" t="s">
        <v>24</v>
      </c>
      <c r="G202" s="23" t="s">
        <v>865</v>
      </c>
      <c r="H202" s="23" t="s">
        <v>858</v>
      </c>
      <c r="I202" s="26" t="s">
        <v>859</v>
      </c>
      <c r="J202" s="23" t="s">
        <v>869</v>
      </c>
      <c r="K202" s="23" t="s">
        <v>870</v>
      </c>
      <c r="L202" s="23" t="s">
        <v>862</v>
      </c>
      <c r="M202" s="25" t="s">
        <v>31</v>
      </c>
      <c r="N202" s="23" t="s">
        <v>32</v>
      </c>
      <c r="O202" s="23" t="s">
        <v>863</v>
      </c>
      <c r="P202" s="23" t="s">
        <v>34</v>
      </c>
      <c r="Q202" s="27" t="str">
        <f>HYPERLINK("https://ovopark.oss-cn-hangzhou.aliyuncs.com/2022/06/25/image_1656129929948.jpg","查看图片")</f>
        <v>查看图片</v>
      </c>
      <c r="R202" s="23" t="s">
        <v>35</v>
      </c>
      <c r="S202" s="23" t="s">
        <v>871</v>
      </c>
      <c r="T202" s="23" t="s">
        <v>37</v>
      </c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1"/>
      <c r="AI202" s="20"/>
      <c r="AJ202" s="20"/>
      <c r="AK202" s="20"/>
      <c r="AL202" s="20"/>
      <c r="AM202" s="20"/>
      <c r="AN202" s="20"/>
      <c r="AO202" s="20"/>
    </row>
    <row r="203" s="17" customFormat="1" customHeight="1" spans="1:41">
      <c r="A203" s="20">
        <v>709</v>
      </c>
      <c r="B203" s="20" t="s">
        <v>856</v>
      </c>
      <c r="C203" s="23" t="s">
        <v>138</v>
      </c>
      <c r="D203" s="23" t="s">
        <v>139</v>
      </c>
      <c r="E203" s="23" t="s">
        <v>23</v>
      </c>
      <c r="F203" s="23" t="s">
        <v>24</v>
      </c>
      <c r="G203" s="23" t="s">
        <v>865</v>
      </c>
      <c r="H203" s="23" t="s">
        <v>858</v>
      </c>
      <c r="I203" s="26" t="s">
        <v>859</v>
      </c>
      <c r="J203" s="23" t="s">
        <v>872</v>
      </c>
      <c r="K203" s="23" t="s">
        <v>873</v>
      </c>
      <c r="L203" s="23" t="s">
        <v>862</v>
      </c>
      <c r="M203" s="25" t="s">
        <v>31</v>
      </c>
      <c r="N203" s="23" t="s">
        <v>32</v>
      </c>
      <c r="O203" s="23" t="s">
        <v>863</v>
      </c>
      <c r="P203" s="23" t="s">
        <v>34</v>
      </c>
      <c r="Q203" s="27" t="str">
        <f>HYPERLINK("https://ovopark.oss-cn-hangzhou.aliyuncs.com/2022/06/25/image_1656129949125.jpg","查看图片")</f>
        <v>查看图片</v>
      </c>
      <c r="R203" s="23" t="s">
        <v>35</v>
      </c>
      <c r="S203" s="23" t="s">
        <v>874</v>
      </c>
      <c r="T203" s="23" t="s">
        <v>37</v>
      </c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1"/>
      <c r="AI203" s="20"/>
      <c r="AJ203" s="20"/>
      <c r="AK203" s="20"/>
      <c r="AL203" s="20"/>
      <c r="AM203" s="20"/>
      <c r="AN203" s="20"/>
      <c r="AO203" s="20"/>
    </row>
    <row r="204" s="17" customFormat="1" customHeight="1" spans="1:41">
      <c r="A204" s="20">
        <v>117184</v>
      </c>
      <c r="B204" s="20" t="s">
        <v>875</v>
      </c>
      <c r="C204" s="23" t="s">
        <v>692</v>
      </c>
      <c r="D204" s="23" t="s">
        <v>693</v>
      </c>
      <c r="E204" s="23" t="s">
        <v>23</v>
      </c>
      <c r="F204" s="23" t="s">
        <v>461</v>
      </c>
      <c r="G204" s="23" t="s">
        <v>876</v>
      </c>
      <c r="H204" s="23" t="s">
        <v>46</v>
      </c>
      <c r="I204" s="26" t="s">
        <v>53</v>
      </c>
      <c r="J204" s="23" t="s">
        <v>463</v>
      </c>
      <c r="K204" s="23" t="s">
        <v>463</v>
      </c>
      <c r="L204" s="23" t="s">
        <v>877</v>
      </c>
      <c r="M204" s="25" t="s">
        <v>31</v>
      </c>
      <c r="N204" s="23" t="s">
        <v>877</v>
      </c>
      <c r="O204" s="23" t="s">
        <v>726</v>
      </c>
      <c r="P204" s="27" t="str">
        <f>HYPERLINK("http://ovopark.oss-cn-hangzhou.aliyuncs.com/1930_311313199034267_compress_311313328411350_image_1655798716223.jpg?x-oss-process=image/resize,w_700,l_700","查看图片")</f>
        <v>查看图片</v>
      </c>
      <c r="Q204" s="23" t="s">
        <v>34</v>
      </c>
      <c r="R204" s="23" t="s">
        <v>60</v>
      </c>
      <c r="S204" s="23" t="s">
        <v>878</v>
      </c>
      <c r="T204" s="23" t="s">
        <v>37</v>
      </c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1"/>
      <c r="AI204" s="20"/>
      <c r="AJ204" s="20"/>
      <c r="AK204" s="20"/>
      <c r="AL204" s="20"/>
      <c r="AM204" s="20"/>
      <c r="AN204" s="20"/>
      <c r="AO204" s="20"/>
    </row>
    <row r="205" s="17" customFormat="1" customHeight="1" spans="1:41">
      <c r="A205" s="20">
        <v>117184</v>
      </c>
      <c r="B205" s="20" t="s">
        <v>875</v>
      </c>
      <c r="C205" s="23" t="s">
        <v>683</v>
      </c>
      <c r="D205" s="23" t="s">
        <v>879</v>
      </c>
      <c r="E205" s="23" t="s">
        <v>23</v>
      </c>
      <c r="F205" s="23" t="s">
        <v>461</v>
      </c>
      <c r="G205" s="23" t="s">
        <v>876</v>
      </c>
      <c r="H205" s="23" t="s">
        <v>46</v>
      </c>
      <c r="I205" s="26" t="s">
        <v>53</v>
      </c>
      <c r="J205" s="23" t="s">
        <v>463</v>
      </c>
      <c r="K205" s="23" t="s">
        <v>463</v>
      </c>
      <c r="L205" s="23" t="s">
        <v>877</v>
      </c>
      <c r="M205" s="25" t="s">
        <v>31</v>
      </c>
      <c r="N205" s="23" t="s">
        <v>877</v>
      </c>
      <c r="O205" s="23" t="s">
        <v>726</v>
      </c>
      <c r="P205" s="27" t="str">
        <f>HYPERLINK("http://ovopark.oss-cn-hangzhou.aliyuncs.com/1930_312370763432543_compress_312370860636189_image_1655798716223.jpg?x-oss-process=image/resize,w_700,l_700","查看图片")</f>
        <v>查看图片</v>
      </c>
      <c r="Q205" s="23" t="s">
        <v>34</v>
      </c>
      <c r="R205" s="23" t="s">
        <v>60</v>
      </c>
      <c r="S205" s="23" t="s">
        <v>878</v>
      </c>
      <c r="T205" s="23" t="s">
        <v>37</v>
      </c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1"/>
      <c r="AI205" s="20"/>
      <c r="AJ205" s="20"/>
      <c r="AK205" s="20"/>
      <c r="AL205" s="20"/>
      <c r="AM205" s="20"/>
      <c r="AN205" s="20"/>
      <c r="AO205" s="20"/>
    </row>
    <row r="206" s="17" customFormat="1" customHeight="1" spans="1:41">
      <c r="A206" s="20">
        <v>117184</v>
      </c>
      <c r="B206" s="20" t="s">
        <v>875</v>
      </c>
      <c r="C206" s="23" t="s">
        <v>880</v>
      </c>
      <c r="D206" s="23" t="s">
        <v>881</v>
      </c>
      <c r="E206" s="23" t="s">
        <v>23</v>
      </c>
      <c r="F206" s="23" t="s">
        <v>461</v>
      </c>
      <c r="G206" s="23" t="s">
        <v>876</v>
      </c>
      <c r="H206" s="23" t="s">
        <v>46</v>
      </c>
      <c r="I206" s="26" t="s">
        <v>53</v>
      </c>
      <c r="J206" s="23" t="s">
        <v>463</v>
      </c>
      <c r="K206" s="23" t="s">
        <v>463</v>
      </c>
      <c r="L206" s="23" t="s">
        <v>877</v>
      </c>
      <c r="M206" s="25" t="s">
        <v>31</v>
      </c>
      <c r="N206" s="23" t="s">
        <v>877</v>
      </c>
      <c r="O206" s="23" t="s">
        <v>726</v>
      </c>
      <c r="P206" s="23" t="s">
        <v>34</v>
      </c>
      <c r="Q206" s="23" t="s">
        <v>34</v>
      </c>
      <c r="R206" s="23" t="s">
        <v>60</v>
      </c>
      <c r="S206" s="23" t="s">
        <v>882</v>
      </c>
      <c r="T206" s="23" t="s">
        <v>37</v>
      </c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1"/>
      <c r="AI206" s="20"/>
      <c r="AJ206" s="20"/>
      <c r="AK206" s="20"/>
      <c r="AL206" s="20"/>
      <c r="AM206" s="20"/>
      <c r="AN206" s="20"/>
      <c r="AO206" s="20"/>
    </row>
    <row r="207" s="17" customFormat="1" customHeight="1" spans="1:41">
      <c r="A207" s="20">
        <v>54</v>
      </c>
      <c r="B207" s="20" t="s">
        <v>317</v>
      </c>
      <c r="C207" s="23" t="s">
        <v>21</v>
      </c>
      <c r="D207" s="23" t="s">
        <v>22</v>
      </c>
      <c r="E207" s="23" t="s">
        <v>23</v>
      </c>
      <c r="F207" s="23" t="s">
        <v>24</v>
      </c>
      <c r="G207" s="23" t="s">
        <v>883</v>
      </c>
      <c r="H207" s="23" t="s">
        <v>45</v>
      </c>
      <c r="I207" s="26" t="s">
        <v>46</v>
      </c>
      <c r="J207" s="23" t="s">
        <v>884</v>
      </c>
      <c r="K207" s="23" t="s">
        <v>885</v>
      </c>
      <c r="L207" s="23" t="s">
        <v>321</v>
      </c>
      <c r="M207" s="25" t="s">
        <v>31</v>
      </c>
      <c r="N207" s="23" t="s">
        <v>32</v>
      </c>
      <c r="O207" s="23" t="s">
        <v>33</v>
      </c>
      <c r="P207" s="23" t="s">
        <v>34</v>
      </c>
      <c r="Q207" s="23" t="s">
        <v>34</v>
      </c>
      <c r="R207" s="23" t="s">
        <v>35</v>
      </c>
      <c r="S207" s="23" t="s">
        <v>886</v>
      </c>
      <c r="T207" s="23" t="s">
        <v>37</v>
      </c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1"/>
      <c r="AI207" s="20"/>
      <c r="AJ207" s="20"/>
      <c r="AK207" s="20"/>
      <c r="AL207" s="20"/>
      <c r="AM207" s="20"/>
      <c r="AN207" s="20"/>
      <c r="AO207" s="20"/>
    </row>
    <row r="208" s="17" customFormat="1" customHeight="1" spans="1:41">
      <c r="A208" s="20">
        <v>52</v>
      </c>
      <c r="B208" s="20" t="s">
        <v>121</v>
      </c>
      <c r="C208" s="23" t="s">
        <v>21</v>
      </c>
      <c r="D208" s="23" t="s">
        <v>22</v>
      </c>
      <c r="E208" s="23" t="s">
        <v>23</v>
      </c>
      <c r="F208" s="23" t="s">
        <v>24</v>
      </c>
      <c r="G208" s="23" t="s">
        <v>887</v>
      </c>
      <c r="H208" s="23" t="s">
        <v>45</v>
      </c>
      <c r="I208" s="26" t="s">
        <v>46</v>
      </c>
      <c r="J208" s="23" t="s">
        <v>888</v>
      </c>
      <c r="K208" s="23" t="s">
        <v>889</v>
      </c>
      <c r="L208" s="23" t="s">
        <v>125</v>
      </c>
      <c r="M208" s="25" t="s">
        <v>31</v>
      </c>
      <c r="N208" s="23" t="s">
        <v>32</v>
      </c>
      <c r="O208" s="23" t="s">
        <v>33</v>
      </c>
      <c r="P208" s="23" t="s">
        <v>34</v>
      </c>
      <c r="Q208" s="27" t="str">
        <f>HYPERLINK("https://ovopark.oss-cn-hangzhou.aliyuncs.com/2022/06/23/0_62_20220623124818_6082.jpeg","查看图片")</f>
        <v>查看图片</v>
      </c>
      <c r="R208" s="23" t="s">
        <v>35</v>
      </c>
      <c r="S208" s="23" t="s">
        <v>890</v>
      </c>
      <c r="T208" s="23" t="s">
        <v>37</v>
      </c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1"/>
      <c r="AI208" s="20"/>
      <c r="AJ208" s="20"/>
      <c r="AK208" s="20"/>
      <c r="AL208" s="20"/>
      <c r="AM208" s="20"/>
      <c r="AN208" s="20"/>
      <c r="AO208" s="20"/>
    </row>
    <row r="209" s="17" customFormat="1" customHeight="1" spans="1:41">
      <c r="A209" s="20">
        <v>710</v>
      </c>
      <c r="B209" s="20" t="s">
        <v>137</v>
      </c>
      <c r="C209" s="23" t="s">
        <v>138</v>
      </c>
      <c r="D209" s="23" t="s">
        <v>257</v>
      </c>
      <c r="E209" s="23" t="s">
        <v>23</v>
      </c>
      <c r="F209" s="23" t="s">
        <v>24</v>
      </c>
      <c r="G209" s="23" t="s">
        <v>891</v>
      </c>
      <c r="H209" s="23" t="s">
        <v>539</v>
      </c>
      <c r="I209" s="26" t="s">
        <v>540</v>
      </c>
      <c r="J209" s="23" t="s">
        <v>892</v>
      </c>
      <c r="K209" s="23" t="s">
        <v>893</v>
      </c>
      <c r="L209" s="23" t="s">
        <v>144</v>
      </c>
      <c r="M209" s="25" t="s">
        <v>31</v>
      </c>
      <c r="N209" s="23" t="s">
        <v>32</v>
      </c>
      <c r="O209" s="23" t="s">
        <v>145</v>
      </c>
      <c r="P209" s="23" t="s">
        <v>34</v>
      </c>
      <c r="Q209" s="23" t="s">
        <v>34</v>
      </c>
      <c r="R209" s="23" t="s">
        <v>35</v>
      </c>
      <c r="S209" s="23" t="s">
        <v>894</v>
      </c>
      <c r="T209" s="23" t="s">
        <v>37</v>
      </c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1"/>
      <c r="AI209" s="20"/>
      <c r="AJ209" s="20"/>
      <c r="AK209" s="20"/>
      <c r="AL209" s="20"/>
      <c r="AM209" s="20"/>
      <c r="AN209" s="20"/>
      <c r="AO209" s="20"/>
    </row>
    <row r="210" s="17" customFormat="1" customHeight="1" spans="1:41">
      <c r="A210" s="20">
        <v>106569</v>
      </c>
      <c r="B210" s="20" t="s">
        <v>353</v>
      </c>
      <c r="C210" s="23" t="s">
        <v>138</v>
      </c>
      <c r="D210" s="23" t="s">
        <v>257</v>
      </c>
      <c r="E210" s="23" t="s">
        <v>23</v>
      </c>
      <c r="F210" s="23" t="s">
        <v>24</v>
      </c>
      <c r="G210" s="23" t="s">
        <v>895</v>
      </c>
      <c r="H210" s="23" t="s">
        <v>551</v>
      </c>
      <c r="I210" s="26" t="s">
        <v>534</v>
      </c>
      <c r="J210" s="23" t="s">
        <v>896</v>
      </c>
      <c r="K210" s="23" t="s">
        <v>897</v>
      </c>
      <c r="L210" s="23" t="s">
        <v>357</v>
      </c>
      <c r="M210" s="25" t="s">
        <v>31</v>
      </c>
      <c r="N210" s="23" t="s">
        <v>32</v>
      </c>
      <c r="O210" s="23" t="s">
        <v>197</v>
      </c>
      <c r="P210" s="23" t="s">
        <v>34</v>
      </c>
      <c r="Q210" s="27" t="str">
        <f>HYPERLINK("https://ovopark.oss-cn-hangzhou.aliyuncs.com/2022/06/20/image_1655697156933.jpg","查看图片")</f>
        <v>查看图片</v>
      </c>
      <c r="R210" s="23" t="s">
        <v>35</v>
      </c>
      <c r="S210" s="23" t="s">
        <v>898</v>
      </c>
      <c r="T210" s="23" t="s">
        <v>37</v>
      </c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1"/>
      <c r="AI210" s="20"/>
      <c r="AJ210" s="20"/>
      <c r="AK210" s="20"/>
      <c r="AL210" s="20"/>
      <c r="AM210" s="20"/>
      <c r="AN210" s="20"/>
      <c r="AO210" s="20"/>
    </row>
    <row r="211" s="17" customFormat="1" customHeight="1" spans="1:41">
      <c r="A211" s="20">
        <v>105267</v>
      </c>
      <c r="B211" s="20" t="s">
        <v>442</v>
      </c>
      <c r="C211" s="23" t="s">
        <v>138</v>
      </c>
      <c r="D211" s="23" t="s">
        <v>147</v>
      </c>
      <c r="E211" s="23" t="s">
        <v>23</v>
      </c>
      <c r="F211" s="23" t="s">
        <v>24</v>
      </c>
      <c r="G211" s="23" t="s">
        <v>899</v>
      </c>
      <c r="H211" s="23" t="s">
        <v>551</v>
      </c>
      <c r="I211" s="26" t="s">
        <v>534</v>
      </c>
      <c r="J211" s="23" t="s">
        <v>900</v>
      </c>
      <c r="K211" s="23" t="s">
        <v>901</v>
      </c>
      <c r="L211" s="23" t="s">
        <v>244</v>
      </c>
      <c r="M211" s="25" t="s">
        <v>31</v>
      </c>
      <c r="N211" s="23" t="s">
        <v>32</v>
      </c>
      <c r="O211" s="23" t="s">
        <v>197</v>
      </c>
      <c r="P211" s="23" t="s">
        <v>34</v>
      </c>
      <c r="Q211" s="27" t="str">
        <f>HYPERLINK("https://ovopark.oss-cn-hangzhou.aliyuncs.com/2022/06/20/image_1655714555177.jpg","查看图片")</f>
        <v>查看图片</v>
      </c>
      <c r="R211" s="23" t="s">
        <v>35</v>
      </c>
      <c r="S211" s="23" t="s">
        <v>902</v>
      </c>
      <c r="T211" s="23" t="s">
        <v>37</v>
      </c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1"/>
      <c r="AI211" s="20"/>
      <c r="AJ211" s="20"/>
      <c r="AK211" s="20"/>
      <c r="AL211" s="20"/>
      <c r="AM211" s="20"/>
      <c r="AN211" s="20"/>
      <c r="AO211" s="20"/>
    </row>
    <row r="212" s="17" customFormat="1" customHeight="1" spans="1:41">
      <c r="A212" s="20">
        <v>105267</v>
      </c>
      <c r="B212" s="20" t="s">
        <v>442</v>
      </c>
      <c r="C212" s="23" t="s">
        <v>138</v>
      </c>
      <c r="D212" s="23" t="s">
        <v>152</v>
      </c>
      <c r="E212" s="23" t="s">
        <v>23</v>
      </c>
      <c r="F212" s="23" t="s">
        <v>24</v>
      </c>
      <c r="G212" s="23" t="s">
        <v>899</v>
      </c>
      <c r="H212" s="23" t="s">
        <v>551</v>
      </c>
      <c r="I212" s="26" t="s">
        <v>534</v>
      </c>
      <c r="J212" s="23" t="s">
        <v>903</v>
      </c>
      <c r="K212" s="23" t="s">
        <v>904</v>
      </c>
      <c r="L212" s="23" t="s">
        <v>244</v>
      </c>
      <c r="M212" s="25" t="s">
        <v>31</v>
      </c>
      <c r="N212" s="23" t="s">
        <v>32</v>
      </c>
      <c r="O212" s="23" t="s">
        <v>197</v>
      </c>
      <c r="P212" s="23" t="s">
        <v>34</v>
      </c>
      <c r="Q212" s="27" t="str">
        <f>HYPERLINK("https://ovopark.oss-cn-hangzhou.aliyuncs.com/2022/06/20/image_1655714625585.jpg","查看图片")</f>
        <v>查看图片</v>
      </c>
      <c r="R212" s="23" t="s">
        <v>35</v>
      </c>
      <c r="S212" s="23" t="s">
        <v>905</v>
      </c>
      <c r="T212" s="23" t="s">
        <v>37</v>
      </c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1"/>
      <c r="AI212" s="20"/>
      <c r="AJ212" s="20"/>
      <c r="AK212" s="20"/>
      <c r="AL212" s="20"/>
      <c r="AM212" s="20"/>
      <c r="AN212" s="20"/>
      <c r="AO212" s="20"/>
    </row>
    <row r="213" s="17" customFormat="1" customHeight="1" spans="1:41">
      <c r="A213" s="20">
        <v>105267</v>
      </c>
      <c r="B213" s="20" t="s">
        <v>442</v>
      </c>
      <c r="C213" s="23" t="s">
        <v>138</v>
      </c>
      <c r="D213" s="23" t="s">
        <v>257</v>
      </c>
      <c r="E213" s="23" t="s">
        <v>23</v>
      </c>
      <c r="F213" s="23" t="s">
        <v>24</v>
      </c>
      <c r="G213" s="23" t="s">
        <v>906</v>
      </c>
      <c r="H213" s="23" t="s">
        <v>551</v>
      </c>
      <c r="I213" s="26" t="s">
        <v>534</v>
      </c>
      <c r="J213" s="23" t="s">
        <v>907</v>
      </c>
      <c r="K213" s="23" t="s">
        <v>908</v>
      </c>
      <c r="L213" s="23" t="s">
        <v>244</v>
      </c>
      <c r="M213" s="25" t="s">
        <v>31</v>
      </c>
      <c r="N213" s="23" t="s">
        <v>32</v>
      </c>
      <c r="O213" s="23" t="s">
        <v>197</v>
      </c>
      <c r="P213" s="23" t="s">
        <v>34</v>
      </c>
      <c r="Q213" s="27" t="str">
        <f>HYPERLINK("https://ovopark.oss-cn-hangzhou.aliyuncs.com/2022/06/20/image_1655714654245.jpg","查看图片")</f>
        <v>查看图片</v>
      </c>
      <c r="R213" s="23" t="s">
        <v>35</v>
      </c>
      <c r="S213" s="23" t="s">
        <v>909</v>
      </c>
      <c r="T213" s="23" t="s">
        <v>37</v>
      </c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1"/>
      <c r="AI213" s="20"/>
      <c r="AJ213" s="20"/>
      <c r="AK213" s="20"/>
      <c r="AL213" s="20"/>
      <c r="AM213" s="20"/>
      <c r="AN213" s="20"/>
      <c r="AO213" s="20"/>
    </row>
    <row r="214" s="17" customFormat="1" customHeight="1" spans="1:41">
      <c r="A214" s="20">
        <v>105267</v>
      </c>
      <c r="B214" s="20" t="s">
        <v>442</v>
      </c>
      <c r="C214" s="23" t="s">
        <v>138</v>
      </c>
      <c r="D214" s="23" t="s">
        <v>156</v>
      </c>
      <c r="E214" s="23" t="s">
        <v>23</v>
      </c>
      <c r="F214" s="23" t="s">
        <v>24</v>
      </c>
      <c r="G214" s="23" t="s">
        <v>910</v>
      </c>
      <c r="H214" s="23" t="s">
        <v>551</v>
      </c>
      <c r="I214" s="26" t="s">
        <v>534</v>
      </c>
      <c r="J214" s="23" t="s">
        <v>911</v>
      </c>
      <c r="K214" s="23" t="s">
        <v>912</v>
      </c>
      <c r="L214" s="23" t="s">
        <v>244</v>
      </c>
      <c r="M214" s="25" t="s">
        <v>31</v>
      </c>
      <c r="N214" s="23" t="s">
        <v>32</v>
      </c>
      <c r="O214" s="23" t="s">
        <v>197</v>
      </c>
      <c r="P214" s="23" t="s">
        <v>34</v>
      </c>
      <c r="Q214" s="27" t="str">
        <f>HYPERLINK("https://ovopark.oss-cn-hangzhou.aliyuncs.com/2022/06/20/image_1655714680150.jpg","查看图片")</f>
        <v>查看图片</v>
      </c>
      <c r="R214" s="23" t="s">
        <v>35</v>
      </c>
      <c r="S214" s="23" t="s">
        <v>913</v>
      </c>
      <c r="T214" s="23" t="s">
        <v>37</v>
      </c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1"/>
      <c r="AI214" s="20"/>
      <c r="AJ214" s="20"/>
      <c r="AK214" s="20"/>
      <c r="AL214" s="20"/>
      <c r="AM214" s="20"/>
      <c r="AN214" s="20"/>
      <c r="AO214" s="20"/>
    </row>
    <row r="215" s="17" customFormat="1" customHeight="1" spans="1:41">
      <c r="A215" s="20">
        <v>105267</v>
      </c>
      <c r="B215" s="20" t="s">
        <v>442</v>
      </c>
      <c r="C215" s="23" t="s">
        <v>138</v>
      </c>
      <c r="D215" s="23" t="s">
        <v>161</v>
      </c>
      <c r="E215" s="23" t="s">
        <v>23</v>
      </c>
      <c r="F215" s="23" t="s">
        <v>24</v>
      </c>
      <c r="G215" s="23" t="s">
        <v>910</v>
      </c>
      <c r="H215" s="23" t="s">
        <v>551</v>
      </c>
      <c r="I215" s="26" t="s">
        <v>534</v>
      </c>
      <c r="J215" s="23" t="s">
        <v>914</v>
      </c>
      <c r="K215" s="23" t="s">
        <v>915</v>
      </c>
      <c r="L215" s="23" t="s">
        <v>244</v>
      </c>
      <c r="M215" s="25" t="s">
        <v>31</v>
      </c>
      <c r="N215" s="23" t="s">
        <v>32</v>
      </c>
      <c r="O215" s="23" t="s">
        <v>197</v>
      </c>
      <c r="P215" s="23" t="s">
        <v>34</v>
      </c>
      <c r="Q215" s="27" t="str">
        <f>HYPERLINK("https://ovopark.oss-cn-hangzhou.aliyuncs.com/2022/06/20/image_1655714709712.jpg","查看图片")</f>
        <v>查看图片</v>
      </c>
      <c r="R215" s="23" t="s">
        <v>35</v>
      </c>
      <c r="S215" s="23" t="s">
        <v>916</v>
      </c>
      <c r="T215" s="23" t="s">
        <v>37</v>
      </c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1"/>
      <c r="AI215" s="20"/>
      <c r="AJ215" s="20"/>
      <c r="AK215" s="20"/>
      <c r="AL215" s="20"/>
      <c r="AM215" s="20"/>
      <c r="AN215" s="20"/>
      <c r="AO215" s="20"/>
    </row>
    <row r="216" s="17" customFormat="1" customHeight="1" spans="1:41">
      <c r="A216" s="20">
        <v>105267</v>
      </c>
      <c r="B216" s="20" t="s">
        <v>442</v>
      </c>
      <c r="C216" s="23" t="s">
        <v>138</v>
      </c>
      <c r="D216" s="23" t="s">
        <v>139</v>
      </c>
      <c r="E216" s="23" t="s">
        <v>23</v>
      </c>
      <c r="F216" s="23" t="s">
        <v>24</v>
      </c>
      <c r="G216" s="23" t="s">
        <v>910</v>
      </c>
      <c r="H216" s="23" t="s">
        <v>551</v>
      </c>
      <c r="I216" s="26" t="s">
        <v>534</v>
      </c>
      <c r="J216" s="23" t="s">
        <v>917</v>
      </c>
      <c r="K216" s="23" t="s">
        <v>918</v>
      </c>
      <c r="L216" s="23" t="s">
        <v>244</v>
      </c>
      <c r="M216" s="25" t="s">
        <v>31</v>
      </c>
      <c r="N216" s="23" t="s">
        <v>32</v>
      </c>
      <c r="O216" s="23" t="s">
        <v>197</v>
      </c>
      <c r="P216" s="23" t="s">
        <v>34</v>
      </c>
      <c r="Q216" s="27" t="str">
        <f>HYPERLINK("https://ovopark.oss-cn-hangzhou.aliyuncs.com/2022/06/20/image_1655714778168.jpg","查看图片")</f>
        <v>查看图片</v>
      </c>
      <c r="R216" s="23" t="s">
        <v>35</v>
      </c>
      <c r="S216" s="23" t="s">
        <v>919</v>
      </c>
      <c r="T216" s="23" t="s">
        <v>37</v>
      </c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1"/>
      <c r="AI216" s="20"/>
      <c r="AJ216" s="20"/>
      <c r="AK216" s="20"/>
      <c r="AL216" s="20"/>
      <c r="AM216" s="20"/>
      <c r="AN216" s="20"/>
      <c r="AO216" s="20"/>
    </row>
    <row r="217" s="17" customFormat="1" customHeight="1" spans="1:41">
      <c r="A217" s="20">
        <v>117310</v>
      </c>
      <c r="B217" s="20" t="s">
        <v>454</v>
      </c>
      <c r="C217" s="23" t="s">
        <v>138</v>
      </c>
      <c r="D217" s="23" t="s">
        <v>257</v>
      </c>
      <c r="E217" s="23" t="s">
        <v>23</v>
      </c>
      <c r="F217" s="23" t="s">
        <v>24</v>
      </c>
      <c r="G217" s="23" t="s">
        <v>920</v>
      </c>
      <c r="H217" s="23" t="s">
        <v>551</v>
      </c>
      <c r="I217" s="26" t="s">
        <v>534</v>
      </c>
      <c r="J217" s="23" t="s">
        <v>921</v>
      </c>
      <c r="K217" s="23" t="s">
        <v>922</v>
      </c>
      <c r="L217" s="23" t="s">
        <v>458</v>
      </c>
      <c r="M217" s="25" t="s">
        <v>31</v>
      </c>
      <c r="N217" s="23" t="s">
        <v>32</v>
      </c>
      <c r="O217" s="23" t="s">
        <v>197</v>
      </c>
      <c r="P217" s="23" t="s">
        <v>34</v>
      </c>
      <c r="Q217" s="27" t="str">
        <f>HYPERLINK("http://ovopark.oss-cn-hangzhou.aliyuncs.com/62_1655696466469_2232_1685020232480736_.jpg","查看图片")</f>
        <v>查看图片</v>
      </c>
      <c r="R217" s="23" t="s">
        <v>35</v>
      </c>
      <c r="S217" s="23" t="s">
        <v>923</v>
      </c>
      <c r="T217" s="23" t="s">
        <v>37</v>
      </c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1"/>
      <c r="AI217" s="20"/>
      <c r="AJ217" s="20"/>
      <c r="AK217" s="20"/>
      <c r="AL217" s="20"/>
      <c r="AM217" s="20"/>
      <c r="AN217" s="20"/>
      <c r="AO217" s="20"/>
    </row>
    <row r="218" s="17" customFormat="1" customHeight="1" spans="1:41">
      <c r="A218" s="20">
        <v>117310</v>
      </c>
      <c r="B218" s="20" t="s">
        <v>454</v>
      </c>
      <c r="C218" s="23" t="s">
        <v>138</v>
      </c>
      <c r="D218" s="23" t="s">
        <v>152</v>
      </c>
      <c r="E218" s="23" t="s">
        <v>23</v>
      </c>
      <c r="F218" s="23" t="s">
        <v>24</v>
      </c>
      <c r="G218" s="23" t="s">
        <v>924</v>
      </c>
      <c r="H218" s="23" t="s">
        <v>551</v>
      </c>
      <c r="I218" s="26" t="s">
        <v>534</v>
      </c>
      <c r="J218" s="23" t="s">
        <v>925</v>
      </c>
      <c r="K218" s="23" t="s">
        <v>926</v>
      </c>
      <c r="L218" s="23" t="s">
        <v>458</v>
      </c>
      <c r="M218" s="25" t="s">
        <v>31</v>
      </c>
      <c r="N218" s="23" t="s">
        <v>32</v>
      </c>
      <c r="O218" s="23" t="s">
        <v>197</v>
      </c>
      <c r="P218" s="23" t="s">
        <v>34</v>
      </c>
      <c r="Q218" s="27" t="str">
        <f>HYPERLINK("http://ovopark.oss-cn-hangzhou.aliyuncs.com/62_1655696491250_2232_1685044982511045_.jpg","查看图片")</f>
        <v>查看图片</v>
      </c>
      <c r="R218" s="23" t="s">
        <v>35</v>
      </c>
      <c r="S218" s="23" t="s">
        <v>927</v>
      </c>
      <c r="T218" s="23" t="s">
        <v>37</v>
      </c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1"/>
      <c r="AI218" s="20"/>
      <c r="AJ218" s="20"/>
      <c r="AK218" s="20"/>
      <c r="AL218" s="20"/>
      <c r="AM218" s="20"/>
      <c r="AN218" s="20"/>
      <c r="AO218" s="20"/>
    </row>
    <row r="219" s="17" customFormat="1" customHeight="1" spans="1:41">
      <c r="A219" s="20">
        <v>117310</v>
      </c>
      <c r="B219" s="20" t="s">
        <v>454</v>
      </c>
      <c r="C219" s="23" t="s">
        <v>138</v>
      </c>
      <c r="D219" s="23" t="s">
        <v>147</v>
      </c>
      <c r="E219" s="23" t="s">
        <v>23</v>
      </c>
      <c r="F219" s="23" t="s">
        <v>24</v>
      </c>
      <c r="G219" s="23" t="s">
        <v>924</v>
      </c>
      <c r="H219" s="23" t="s">
        <v>551</v>
      </c>
      <c r="I219" s="26" t="s">
        <v>534</v>
      </c>
      <c r="J219" s="23" t="s">
        <v>928</v>
      </c>
      <c r="K219" s="23" t="s">
        <v>929</v>
      </c>
      <c r="L219" s="23" t="s">
        <v>458</v>
      </c>
      <c r="M219" s="25" t="s">
        <v>31</v>
      </c>
      <c r="N219" s="23" t="s">
        <v>32</v>
      </c>
      <c r="O219" s="23" t="s">
        <v>197</v>
      </c>
      <c r="P219" s="23" t="s">
        <v>34</v>
      </c>
      <c r="Q219" s="27" t="str">
        <f>HYPERLINK("http://ovopark.oss-cn-hangzhou.aliyuncs.com/62_1655696509742_2232_1685063512456969_.jpg","查看图片")</f>
        <v>查看图片</v>
      </c>
      <c r="R219" s="23" t="s">
        <v>35</v>
      </c>
      <c r="S219" s="23" t="s">
        <v>930</v>
      </c>
      <c r="T219" s="23" t="s">
        <v>37</v>
      </c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1"/>
      <c r="AI219" s="20"/>
      <c r="AJ219" s="20"/>
      <c r="AK219" s="20"/>
      <c r="AL219" s="20"/>
      <c r="AM219" s="20"/>
      <c r="AN219" s="20"/>
      <c r="AO219" s="20"/>
    </row>
    <row r="220" s="17" customFormat="1" customHeight="1" spans="1:41">
      <c r="A220" s="20">
        <v>106569</v>
      </c>
      <c r="B220" s="20" t="s">
        <v>353</v>
      </c>
      <c r="C220" s="23" t="s">
        <v>138</v>
      </c>
      <c r="D220" s="23" t="s">
        <v>139</v>
      </c>
      <c r="E220" s="23" t="s">
        <v>23</v>
      </c>
      <c r="F220" s="23" t="s">
        <v>24</v>
      </c>
      <c r="G220" s="23" t="s">
        <v>931</v>
      </c>
      <c r="H220" s="23" t="s">
        <v>551</v>
      </c>
      <c r="I220" s="26" t="s">
        <v>534</v>
      </c>
      <c r="J220" s="23" t="s">
        <v>932</v>
      </c>
      <c r="K220" s="23" t="s">
        <v>933</v>
      </c>
      <c r="L220" s="23" t="s">
        <v>357</v>
      </c>
      <c r="M220" s="25" t="s">
        <v>31</v>
      </c>
      <c r="N220" s="23" t="s">
        <v>32</v>
      </c>
      <c r="O220" s="23" t="s">
        <v>197</v>
      </c>
      <c r="P220" s="27" t="str">
        <f>HYPERLINK("https://ovopark.oss-cn-hangzhou.aliyuncs.com/OVOPARK/2022/06/15/1655265222114884.jpg?x-oss-process=image/resize,w_700,l_700","查看图片")</f>
        <v>查看图片</v>
      </c>
      <c r="Q220" s="27" t="str">
        <f>HYPERLINK("https://ovopark.oss-cn-hangzhou.aliyuncs.com/2022/06/20/image_1655696960438.jpg","查看图片")</f>
        <v>查看图片</v>
      </c>
      <c r="R220" s="23" t="s">
        <v>35</v>
      </c>
      <c r="S220" s="23" t="s">
        <v>934</v>
      </c>
      <c r="T220" s="23" t="s">
        <v>37</v>
      </c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1"/>
      <c r="AI220" s="20"/>
      <c r="AJ220" s="20"/>
      <c r="AK220" s="20"/>
      <c r="AL220" s="20"/>
      <c r="AM220" s="20"/>
      <c r="AN220" s="20"/>
      <c r="AO220" s="20"/>
    </row>
    <row r="221" s="17" customFormat="1" customHeight="1" spans="1:41">
      <c r="A221" s="20">
        <v>106569</v>
      </c>
      <c r="B221" s="20" t="s">
        <v>353</v>
      </c>
      <c r="C221" s="23" t="s">
        <v>138</v>
      </c>
      <c r="D221" s="23" t="s">
        <v>161</v>
      </c>
      <c r="E221" s="23" t="s">
        <v>23</v>
      </c>
      <c r="F221" s="23" t="s">
        <v>24</v>
      </c>
      <c r="G221" s="23" t="s">
        <v>931</v>
      </c>
      <c r="H221" s="23" t="s">
        <v>551</v>
      </c>
      <c r="I221" s="26" t="s">
        <v>534</v>
      </c>
      <c r="J221" s="23" t="s">
        <v>935</v>
      </c>
      <c r="K221" s="23" t="s">
        <v>936</v>
      </c>
      <c r="L221" s="23" t="s">
        <v>357</v>
      </c>
      <c r="M221" s="25" t="s">
        <v>31</v>
      </c>
      <c r="N221" s="23" t="s">
        <v>32</v>
      </c>
      <c r="O221" s="23" t="s">
        <v>197</v>
      </c>
      <c r="P221" s="27" t="str">
        <f>HYPERLINK("https://ovopark.oss-cn-hangzhou.aliyuncs.com/OVOPARK/2022/06/15/1655265222114884.jpg?x-oss-process=image/resize,w_700,l_700","查看图片")</f>
        <v>查看图片</v>
      </c>
      <c r="Q221" s="27" t="str">
        <f>HYPERLINK("https://ovopark.oss-cn-hangzhou.aliyuncs.com/2022/06/20/image_1655697036690.jpg","查看图片")</f>
        <v>查看图片</v>
      </c>
      <c r="R221" s="23" t="s">
        <v>35</v>
      </c>
      <c r="S221" s="23" t="s">
        <v>937</v>
      </c>
      <c r="T221" s="23" t="s">
        <v>37</v>
      </c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1"/>
      <c r="AI221" s="20"/>
      <c r="AJ221" s="20"/>
      <c r="AK221" s="20"/>
      <c r="AL221" s="20"/>
      <c r="AM221" s="20"/>
      <c r="AN221" s="20"/>
      <c r="AO221" s="20"/>
    </row>
    <row r="222" s="17" customFormat="1" customHeight="1" spans="1:41">
      <c r="A222" s="20">
        <v>106569</v>
      </c>
      <c r="B222" s="20" t="s">
        <v>353</v>
      </c>
      <c r="C222" s="23" t="s">
        <v>138</v>
      </c>
      <c r="D222" s="23" t="s">
        <v>156</v>
      </c>
      <c r="E222" s="23" t="s">
        <v>23</v>
      </c>
      <c r="F222" s="23" t="s">
        <v>24</v>
      </c>
      <c r="G222" s="23" t="s">
        <v>931</v>
      </c>
      <c r="H222" s="23" t="s">
        <v>551</v>
      </c>
      <c r="I222" s="26" t="s">
        <v>534</v>
      </c>
      <c r="J222" s="23" t="s">
        <v>938</v>
      </c>
      <c r="K222" s="23" t="s">
        <v>939</v>
      </c>
      <c r="L222" s="23" t="s">
        <v>357</v>
      </c>
      <c r="M222" s="25" t="s">
        <v>31</v>
      </c>
      <c r="N222" s="23" t="s">
        <v>32</v>
      </c>
      <c r="O222" s="23" t="s">
        <v>197</v>
      </c>
      <c r="P222" s="27" t="str">
        <f>HYPERLINK("https://ovopark.oss-cn-hangzhou.aliyuncs.com/OVOPARK/2022/06/15/1655265222114884.jpg?x-oss-process=image/resize,w_700,l_700","查看图片")</f>
        <v>查看图片</v>
      </c>
      <c r="Q222" s="27" t="str">
        <f>HYPERLINK("https://ovopark.oss-cn-hangzhou.aliyuncs.com/2022/06/20/image_1655697089533.jpg","查看图片")</f>
        <v>查看图片</v>
      </c>
      <c r="R222" s="23" t="s">
        <v>35</v>
      </c>
      <c r="S222" s="23" t="s">
        <v>940</v>
      </c>
      <c r="T222" s="23" t="s">
        <v>37</v>
      </c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1"/>
      <c r="AI222" s="20"/>
      <c r="AJ222" s="20"/>
      <c r="AK222" s="20"/>
      <c r="AL222" s="20"/>
      <c r="AM222" s="20"/>
      <c r="AN222" s="20"/>
      <c r="AO222" s="20"/>
    </row>
    <row r="223" s="17" customFormat="1" hidden="1" customHeight="1" spans="3:20">
      <c r="C223" s="23" t="s">
        <v>138</v>
      </c>
      <c r="D223" s="23" t="s">
        <v>183</v>
      </c>
      <c r="E223" s="23" t="s">
        <v>23</v>
      </c>
      <c r="F223" s="23" t="s">
        <v>24</v>
      </c>
      <c r="G223" s="23" t="s">
        <v>941</v>
      </c>
      <c r="H223" s="23" t="s">
        <v>539</v>
      </c>
      <c r="I223" s="26" t="s">
        <v>540</v>
      </c>
      <c r="J223" s="23" t="s">
        <v>942</v>
      </c>
      <c r="K223" s="23" t="s">
        <v>943</v>
      </c>
      <c r="L223" s="23" t="s">
        <v>458</v>
      </c>
      <c r="M223" s="23" t="s">
        <v>58</v>
      </c>
      <c r="N223" s="23" t="s">
        <v>32</v>
      </c>
      <c r="O223" s="23" t="s">
        <v>197</v>
      </c>
      <c r="P223" s="23" t="s">
        <v>34</v>
      </c>
      <c r="Q223" s="27" t="str">
        <f>HYPERLINK("http://ovopark.oss-cn-hangzhou.aliyuncs.com/62_1655696356582_2232_1684910339992883_.jpg","查看图片")</f>
        <v>查看图片</v>
      </c>
      <c r="R223" s="23" t="s">
        <v>35</v>
      </c>
      <c r="S223" s="23" t="s">
        <v>944</v>
      </c>
      <c r="T223" s="23" t="s">
        <v>37</v>
      </c>
    </row>
    <row r="224" s="17" customFormat="1" hidden="1" customHeight="1" spans="3:20">
      <c r="C224" s="23" t="s">
        <v>138</v>
      </c>
      <c r="D224" s="23" t="s">
        <v>179</v>
      </c>
      <c r="E224" s="23" t="s">
        <v>23</v>
      </c>
      <c r="F224" s="23" t="s">
        <v>24</v>
      </c>
      <c r="G224" s="23" t="s">
        <v>941</v>
      </c>
      <c r="H224" s="23" t="s">
        <v>539</v>
      </c>
      <c r="I224" s="26" t="s">
        <v>540</v>
      </c>
      <c r="J224" s="23" t="s">
        <v>945</v>
      </c>
      <c r="K224" s="23" t="s">
        <v>946</v>
      </c>
      <c r="L224" s="23" t="s">
        <v>458</v>
      </c>
      <c r="M224" s="23" t="s">
        <v>58</v>
      </c>
      <c r="N224" s="23" t="s">
        <v>32</v>
      </c>
      <c r="O224" s="23" t="s">
        <v>197</v>
      </c>
      <c r="P224" s="23" t="s">
        <v>34</v>
      </c>
      <c r="Q224" s="27" t="str">
        <f>HYPERLINK("http://ovopark.oss-cn-hangzhou.aliyuncs.com/62_1655696372686_2232_1684926454481961_.jpg","查看图片")</f>
        <v>查看图片</v>
      </c>
      <c r="R224" s="23" t="s">
        <v>35</v>
      </c>
      <c r="S224" s="23" t="s">
        <v>947</v>
      </c>
      <c r="T224" s="23" t="s">
        <v>37</v>
      </c>
    </row>
    <row r="225" s="17" customFormat="1" hidden="1" customHeight="1" spans="3:20">
      <c r="C225" s="23" t="s">
        <v>138</v>
      </c>
      <c r="D225" s="23" t="s">
        <v>174</v>
      </c>
      <c r="E225" s="23" t="s">
        <v>23</v>
      </c>
      <c r="F225" s="23" t="s">
        <v>24</v>
      </c>
      <c r="G225" s="23" t="s">
        <v>941</v>
      </c>
      <c r="H225" s="23" t="s">
        <v>539</v>
      </c>
      <c r="I225" s="26" t="s">
        <v>540</v>
      </c>
      <c r="J225" s="23" t="s">
        <v>948</v>
      </c>
      <c r="K225" s="23" t="s">
        <v>949</v>
      </c>
      <c r="L225" s="23" t="s">
        <v>458</v>
      </c>
      <c r="M225" s="23" t="s">
        <v>58</v>
      </c>
      <c r="N225" s="23" t="s">
        <v>32</v>
      </c>
      <c r="O225" s="23" t="s">
        <v>197</v>
      </c>
      <c r="P225" s="23" t="s">
        <v>34</v>
      </c>
      <c r="Q225" s="27" t="str">
        <f>HYPERLINK("http://ovopark.oss-cn-hangzhou.aliyuncs.com/62_1655696392698_2232_1684946380117654_.jpg","查看图片")</f>
        <v>查看图片</v>
      </c>
      <c r="R225" s="23" t="s">
        <v>35</v>
      </c>
      <c r="S225" s="23" t="s">
        <v>950</v>
      </c>
      <c r="T225" s="23" t="s">
        <v>37</v>
      </c>
    </row>
    <row r="226" s="17" customFormat="1" hidden="1" customHeight="1" spans="3:20">
      <c r="C226" s="23" t="s">
        <v>138</v>
      </c>
      <c r="D226" s="23" t="s">
        <v>183</v>
      </c>
      <c r="E226" s="23" t="s">
        <v>23</v>
      </c>
      <c r="F226" s="23" t="s">
        <v>24</v>
      </c>
      <c r="G226" s="23" t="s">
        <v>951</v>
      </c>
      <c r="H226" s="23" t="s">
        <v>539</v>
      </c>
      <c r="I226" s="26" t="s">
        <v>540</v>
      </c>
      <c r="J226" s="23" t="s">
        <v>952</v>
      </c>
      <c r="K226" s="23" t="s">
        <v>953</v>
      </c>
      <c r="L226" s="23" t="s">
        <v>357</v>
      </c>
      <c r="M226" s="23" t="s">
        <v>58</v>
      </c>
      <c r="N226" s="23" t="s">
        <v>32</v>
      </c>
      <c r="O226" s="23" t="s">
        <v>197</v>
      </c>
      <c r="P226" s="23" t="s">
        <v>34</v>
      </c>
      <c r="Q226" s="27" t="str">
        <f>HYPERLINK("https://ovopark.oss-cn-hangzhou.aliyuncs.com/2022/06/20/image_1655697249503.jpg","查看图片")</f>
        <v>查看图片</v>
      </c>
      <c r="R226" s="23" t="s">
        <v>35</v>
      </c>
      <c r="S226" s="23" t="s">
        <v>954</v>
      </c>
      <c r="T226" s="23" t="s">
        <v>37</v>
      </c>
    </row>
    <row r="227" s="17" customFormat="1" hidden="1" customHeight="1" spans="3:20">
      <c r="C227" s="23" t="s">
        <v>138</v>
      </c>
      <c r="D227" s="23" t="s">
        <v>179</v>
      </c>
      <c r="E227" s="23" t="s">
        <v>23</v>
      </c>
      <c r="F227" s="23" t="s">
        <v>24</v>
      </c>
      <c r="G227" s="23" t="s">
        <v>951</v>
      </c>
      <c r="H227" s="23" t="s">
        <v>539</v>
      </c>
      <c r="I227" s="26" t="s">
        <v>540</v>
      </c>
      <c r="J227" s="23" t="s">
        <v>955</v>
      </c>
      <c r="K227" s="23" t="s">
        <v>956</v>
      </c>
      <c r="L227" s="23" t="s">
        <v>357</v>
      </c>
      <c r="M227" s="23" t="s">
        <v>58</v>
      </c>
      <c r="N227" s="23" t="s">
        <v>32</v>
      </c>
      <c r="O227" s="23" t="s">
        <v>197</v>
      </c>
      <c r="P227" s="23" t="s">
        <v>34</v>
      </c>
      <c r="Q227" s="27" t="str">
        <f>HYPERLINK("https://ovopark.oss-cn-hangzhou.aliyuncs.com/2022/06/20/image_1655697285787.jpg","查看图片")</f>
        <v>查看图片</v>
      </c>
      <c r="R227" s="23" t="s">
        <v>35</v>
      </c>
      <c r="S227" s="23" t="s">
        <v>957</v>
      </c>
      <c r="T227" s="23" t="s">
        <v>37</v>
      </c>
    </row>
    <row r="228" s="17" customFormat="1" hidden="1" customHeight="1" spans="3:20">
      <c r="C228" s="23" t="s">
        <v>138</v>
      </c>
      <c r="D228" s="23" t="s">
        <v>174</v>
      </c>
      <c r="E228" s="23" t="s">
        <v>23</v>
      </c>
      <c r="F228" s="23" t="s">
        <v>24</v>
      </c>
      <c r="G228" s="23" t="s">
        <v>951</v>
      </c>
      <c r="H228" s="23" t="s">
        <v>539</v>
      </c>
      <c r="I228" s="26" t="s">
        <v>540</v>
      </c>
      <c r="J228" s="23" t="s">
        <v>958</v>
      </c>
      <c r="K228" s="23" t="s">
        <v>959</v>
      </c>
      <c r="L228" s="23" t="s">
        <v>357</v>
      </c>
      <c r="M228" s="23" t="s">
        <v>58</v>
      </c>
      <c r="N228" s="23" t="s">
        <v>32</v>
      </c>
      <c r="O228" s="23" t="s">
        <v>197</v>
      </c>
      <c r="P228" s="23" t="s">
        <v>34</v>
      </c>
      <c r="Q228" s="27" t="str">
        <f>HYPERLINK("https://ovopark.oss-cn-hangzhou.aliyuncs.com/2022/06/20/image_1655697352023.jpg","查看图片")</f>
        <v>查看图片</v>
      </c>
      <c r="R228" s="23" t="s">
        <v>35</v>
      </c>
      <c r="S228" s="23" t="s">
        <v>960</v>
      </c>
      <c r="T228" s="23" t="s">
        <v>37</v>
      </c>
    </row>
    <row r="229" s="17" customFormat="1" hidden="1" customHeight="1" spans="3:20">
      <c r="C229" s="23" t="s">
        <v>138</v>
      </c>
      <c r="D229" s="23" t="s">
        <v>183</v>
      </c>
      <c r="E229" s="23" t="s">
        <v>23</v>
      </c>
      <c r="F229" s="23" t="s">
        <v>24</v>
      </c>
      <c r="G229" s="23" t="s">
        <v>961</v>
      </c>
      <c r="H229" s="23" t="s">
        <v>539</v>
      </c>
      <c r="I229" s="26" t="s">
        <v>540</v>
      </c>
      <c r="J229" s="23" t="s">
        <v>962</v>
      </c>
      <c r="K229" s="23" t="s">
        <v>963</v>
      </c>
      <c r="L229" s="23" t="s">
        <v>244</v>
      </c>
      <c r="M229" s="23" t="s">
        <v>58</v>
      </c>
      <c r="N229" s="23" t="s">
        <v>32</v>
      </c>
      <c r="O229" s="23" t="s">
        <v>197</v>
      </c>
      <c r="P229" s="23" t="s">
        <v>34</v>
      </c>
      <c r="Q229" s="27" t="str">
        <f>HYPERLINK("https://ovopark.oss-cn-hangzhou.aliyuncs.com/2022/06/20/image_1655717005896.jpg","查看图片")</f>
        <v>查看图片</v>
      </c>
      <c r="R229" s="23" t="s">
        <v>35</v>
      </c>
      <c r="S229" s="23" t="s">
        <v>964</v>
      </c>
      <c r="T229" s="23" t="s">
        <v>37</v>
      </c>
    </row>
    <row r="230" s="17" customFormat="1" hidden="1" customHeight="1" spans="3:20">
      <c r="C230" s="23" t="s">
        <v>138</v>
      </c>
      <c r="D230" s="23" t="s">
        <v>179</v>
      </c>
      <c r="E230" s="23" t="s">
        <v>23</v>
      </c>
      <c r="F230" s="23" t="s">
        <v>24</v>
      </c>
      <c r="G230" s="23" t="s">
        <v>961</v>
      </c>
      <c r="H230" s="23" t="s">
        <v>539</v>
      </c>
      <c r="I230" s="26" t="s">
        <v>540</v>
      </c>
      <c r="J230" s="23" t="s">
        <v>965</v>
      </c>
      <c r="K230" s="23" t="s">
        <v>966</v>
      </c>
      <c r="L230" s="23" t="s">
        <v>244</v>
      </c>
      <c r="M230" s="23" t="s">
        <v>58</v>
      </c>
      <c r="N230" s="23" t="s">
        <v>32</v>
      </c>
      <c r="O230" s="23" t="s">
        <v>197</v>
      </c>
      <c r="P230" s="23" t="s">
        <v>34</v>
      </c>
      <c r="Q230" s="27" t="str">
        <f>HYPERLINK("https://ovopark.oss-cn-hangzhou.aliyuncs.com/2022/06/20/image_1655716983661.jpg","查看图片")</f>
        <v>查看图片</v>
      </c>
      <c r="R230" s="23" t="s">
        <v>35</v>
      </c>
      <c r="S230" s="23" t="s">
        <v>967</v>
      </c>
      <c r="T230" s="23" t="s">
        <v>37</v>
      </c>
    </row>
    <row r="231" s="17" customFormat="1" hidden="1" customHeight="1" spans="3:20">
      <c r="C231" s="23" t="s">
        <v>138</v>
      </c>
      <c r="D231" s="23" t="s">
        <v>174</v>
      </c>
      <c r="E231" s="23" t="s">
        <v>23</v>
      </c>
      <c r="F231" s="23" t="s">
        <v>24</v>
      </c>
      <c r="G231" s="23" t="s">
        <v>961</v>
      </c>
      <c r="H231" s="23" t="s">
        <v>539</v>
      </c>
      <c r="I231" s="26" t="s">
        <v>540</v>
      </c>
      <c r="J231" s="23" t="s">
        <v>968</v>
      </c>
      <c r="K231" s="23" t="s">
        <v>969</v>
      </c>
      <c r="L231" s="23" t="s">
        <v>244</v>
      </c>
      <c r="M231" s="23" t="s">
        <v>58</v>
      </c>
      <c r="N231" s="23" t="s">
        <v>32</v>
      </c>
      <c r="O231" s="23" t="s">
        <v>197</v>
      </c>
      <c r="P231" s="23" t="s">
        <v>34</v>
      </c>
      <c r="Q231" s="27" t="str">
        <f>HYPERLINK("https://ovopark.oss-cn-hangzhou.aliyuncs.com/2022/06/20/image_1655716960773.jpg","查看图片")</f>
        <v>查看图片</v>
      </c>
      <c r="R231" s="23" t="s">
        <v>35</v>
      </c>
      <c r="S231" s="23" t="s">
        <v>970</v>
      </c>
      <c r="T231" s="23" t="s">
        <v>37</v>
      </c>
    </row>
    <row r="232" s="17" customFormat="1" hidden="1" customHeight="1" spans="3:20">
      <c r="C232" s="23" t="s">
        <v>692</v>
      </c>
      <c r="D232" s="23" t="s">
        <v>971</v>
      </c>
      <c r="E232" s="23" t="s">
        <v>23</v>
      </c>
      <c r="F232" s="23" t="s">
        <v>24</v>
      </c>
      <c r="G232" s="23" t="s">
        <v>972</v>
      </c>
      <c r="H232" s="23" t="s">
        <v>45</v>
      </c>
      <c r="I232" s="26" t="s">
        <v>46</v>
      </c>
      <c r="J232" s="23" t="s">
        <v>973</v>
      </c>
      <c r="K232" s="23" t="s">
        <v>974</v>
      </c>
      <c r="L232" s="23" t="s">
        <v>571</v>
      </c>
      <c r="M232" s="23" t="s">
        <v>58</v>
      </c>
      <c r="N232" s="23" t="s">
        <v>32</v>
      </c>
      <c r="O232" s="23" t="s">
        <v>197</v>
      </c>
      <c r="P232" s="27" t="str">
        <f>HYPERLINK("https://ovopark.oss-cn-hangzhou.aliyuncs.com/2022/06/18/0_62_20220618150131_1757.png?x-oss-process=image/resize,w_700,l_700","查看图片")</f>
        <v>查看图片</v>
      </c>
      <c r="Q232" s="27" t="str">
        <f>HYPERLINK("http://ovopark.oss-cn-hangzhou.aliyuncs.com/5911_326191517140847_image_1655697013546.jpg","查看图片")</f>
        <v>查看图片</v>
      </c>
      <c r="R232" s="23" t="s">
        <v>60</v>
      </c>
      <c r="S232" s="23" t="s">
        <v>975</v>
      </c>
      <c r="T232" s="23" t="s">
        <v>37</v>
      </c>
    </row>
    <row r="233" s="17" customFormat="1" hidden="1" customHeight="1" spans="3:20">
      <c r="C233" s="23" t="s">
        <v>683</v>
      </c>
      <c r="D233" s="23" t="s">
        <v>976</v>
      </c>
      <c r="E233" s="23" t="s">
        <v>23</v>
      </c>
      <c r="F233" s="23" t="s">
        <v>24</v>
      </c>
      <c r="G233" s="23" t="s">
        <v>972</v>
      </c>
      <c r="H233" s="23" t="s">
        <v>45</v>
      </c>
      <c r="I233" s="26" t="s">
        <v>46</v>
      </c>
      <c r="J233" s="23" t="s">
        <v>977</v>
      </c>
      <c r="K233" s="23" t="s">
        <v>978</v>
      </c>
      <c r="L233" s="23" t="s">
        <v>571</v>
      </c>
      <c r="M233" s="23" t="s">
        <v>58</v>
      </c>
      <c r="N233" s="23" t="s">
        <v>32</v>
      </c>
      <c r="O233" s="23" t="s">
        <v>197</v>
      </c>
      <c r="P233" s="27" t="str">
        <f>HYPERLINK("https://ovopark.oss-cn-hangzhou.aliyuncs.com/2022/06/18/0_62_20220618164047_8645.png?x-oss-process=image/resize,w_700,l_700","查看图片")</f>
        <v>查看图片</v>
      </c>
      <c r="Q233" s="27" t="str">
        <f>HYPERLINK("http://ovopark.oss-cn-hangzhou.aliyuncs.com/5911_326151001998009_image_1655696973355.jpg","查看图片")</f>
        <v>查看图片</v>
      </c>
      <c r="R233" s="23" t="s">
        <v>60</v>
      </c>
      <c r="S233" s="23" t="s">
        <v>979</v>
      </c>
      <c r="T233" s="23" t="s">
        <v>37</v>
      </c>
    </row>
    <row r="234" s="17" customFormat="1" hidden="1" customHeight="1" spans="3:20">
      <c r="C234" s="23" t="s">
        <v>683</v>
      </c>
      <c r="D234" s="23" t="s">
        <v>980</v>
      </c>
      <c r="E234" s="23" t="s">
        <v>23</v>
      </c>
      <c r="F234" s="23" t="s">
        <v>24</v>
      </c>
      <c r="G234" s="23" t="s">
        <v>972</v>
      </c>
      <c r="H234" s="23" t="s">
        <v>45</v>
      </c>
      <c r="I234" s="26" t="s">
        <v>46</v>
      </c>
      <c r="J234" s="23" t="s">
        <v>981</v>
      </c>
      <c r="K234" s="23" t="s">
        <v>982</v>
      </c>
      <c r="L234" s="23" t="s">
        <v>571</v>
      </c>
      <c r="M234" s="23" t="s">
        <v>58</v>
      </c>
      <c r="N234" s="23" t="s">
        <v>32</v>
      </c>
      <c r="O234" s="23" t="s">
        <v>197</v>
      </c>
      <c r="P234" s="27" t="str">
        <f>HYPERLINK("https://ovopark.oss-cn-hangzhou.aliyuncs.com/2022/06/18/0_62_20220618163558_5891.png?x-oss-process=image/resize,w_700,l_700","查看图片")</f>
        <v>查看图片</v>
      </c>
      <c r="Q234" s="27" t="str">
        <f>HYPERLINK("http://ovopark.oss-cn-hangzhou.aliyuncs.com/5911_326056265469769_image_1655696878702.jpg","查看图片")</f>
        <v>查看图片</v>
      </c>
      <c r="R234" s="23" t="s">
        <v>60</v>
      </c>
      <c r="S234" s="23" t="s">
        <v>983</v>
      </c>
      <c r="T234" s="23" t="s">
        <v>37</v>
      </c>
    </row>
    <row r="235" s="17" customFormat="1" hidden="1" customHeight="1" spans="3:20">
      <c r="C235" s="23" t="s">
        <v>677</v>
      </c>
      <c r="D235" s="23" t="s">
        <v>984</v>
      </c>
      <c r="E235" s="23" t="s">
        <v>23</v>
      </c>
      <c r="F235" s="23" t="s">
        <v>24</v>
      </c>
      <c r="G235" s="23" t="s">
        <v>972</v>
      </c>
      <c r="H235" s="23" t="s">
        <v>45</v>
      </c>
      <c r="I235" s="26" t="s">
        <v>46</v>
      </c>
      <c r="J235" s="23" t="s">
        <v>985</v>
      </c>
      <c r="K235" s="23" t="s">
        <v>986</v>
      </c>
      <c r="L235" s="23" t="s">
        <v>571</v>
      </c>
      <c r="M235" s="23" t="s">
        <v>58</v>
      </c>
      <c r="N235" s="23" t="s">
        <v>32</v>
      </c>
      <c r="O235" s="23" t="s">
        <v>197</v>
      </c>
      <c r="P235" s="27" t="str">
        <f>HYPERLINK("https://ovopark.oss-cn-hangzhou.aliyuncs.com/2022/06/18/0_62_20220618163810_6340.png?x-oss-process=image/resize,w_700,l_700","查看图片")</f>
        <v>查看图片</v>
      </c>
      <c r="Q235" s="27" t="str">
        <f>HYPERLINK("http://ovopark.oss-cn-hangzhou.aliyuncs.com/5911_326021215390965_image_1655696843074.jpg","查看图片")</f>
        <v>查看图片</v>
      </c>
      <c r="R235" s="23" t="s">
        <v>60</v>
      </c>
      <c r="S235" s="23" t="s">
        <v>987</v>
      </c>
      <c r="T235" s="23" t="s">
        <v>37</v>
      </c>
    </row>
    <row r="236" s="17" customFormat="1" hidden="1" customHeight="1" spans="3:20">
      <c r="C236" s="23" t="s">
        <v>677</v>
      </c>
      <c r="D236" s="23" t="s">
        <v>678</v>
      </c>
      <c r="E236" s="23" t="s">
        <v>23</v>
      </c>
      <c r="F236" s="23" t="s">
        <v>24</v>
      </c>
      <c r="G236" s="23" t="s">
        <v>972</v>
      </c>
      <c r="H236" s="23" t="s">
        <v>45</v>
      </c>
      <c r="I236" s="26" t="s">
        <v>46</v>
      </c>
      <c r="J236" s="23" t="s">
        <v>988</v>
      </c>
      <c r="K236" s="23" t="s">
        <v>989</v>
      </c>
      <c r="L236" s="23" t="s">
        <v>571</v>
      </c>
      <c r="M236" s="23" t="s">
        <v>58</v>
      </c>
      <c r="N236" s="23" t="s">
        <v>32</v>
      </c>
      <c r="O236" s="23" t="s">
        <v>197</v>
      </c>
      <c r="P236" s="27" t="str">
        <f>HYPERLINK("https://ovopark.oss-cn-hangzhou.aliyuncs.com/2022/06/18/0_62_20220618163840_8218.png?x-oss-process=image/resize,w_700,l_700","查看图片")</f>
        <v>查看图片</v>
      </c>
      <c r="Q236" s="27" t="str">
        <f>HYPERLINK("http://ovopark.oss-cn-hangzhou.aliyuncs.com/5911_326655892008566_image_1655697478464.jpg","查看图片")</f>
        <v>查看图片</v>
      </c>
      <c r="R236" s="23" t="s">
        <v>60</v>
      </c>
      <c r="S236" s="23" t="s">
        <v>990</v>
      </c>
      <c r="T236" s="23" t="s">
        <v>37</v>
      </c>
    </row>
    <row r="237" s="17" customFormat="1" hidden="1" customHeight="1" spans="3:20">
      <c r="C237" s="23" t="s">
        <v>677</v>
      </c>
      <c r="D237" s="23" t="s">
        <v>991</v>
      </c>
      <c r="E237" s="23" t="s">
        <v>23</v>
      </c>
      <c r="F237" s="23" t="s">
        <v>24</v>
      </c>
      <c r="G237" s="23" t="s">
        <v>972</v>
      </c>
      <c r="H237" s="23" t="s">
        <v>45</v>
      </c>
      <c r="I237" s="26" t="s">
        <v>46</v>
      </c>
      <c r="J237" s="23" t="s">
        <v>992</v>
      </c>
      <c r="K237" s="23" t="s">
        <v>993</v>
      </c>
      <c r="L237" s="23" t="s">
        <v>571</v>
      </c>
      <c r="M237" s="23" t="s">
        <v>58</v>
      </c>
      <c r="N237" s="23" t="s">
        <v>32</v>
      </c>
      <c r="O237" s="23" t="s">
        <v>197</v>
      </c>
      <c r="P237" s="27" t="str">
        <f>HYPERLINK("https://ovopark.oss-cn-hangzhou.aliyuncs.com/2022/06/18/0_62_20220618163916_61.png?x-oss-process=image/resize,w_700,l_700","查看图片")</f>
        <v>查看图片</v>
      </c>
      <c r="Q237" s="27" t="str">
        <f>HYPERLINK("http://ovopark.oss-cn-hangzhou.aliyuncs.com/5911_325978084835627_image_1655696793589.jpg","查看图片")</f>
        <v>查看图片</v>
      </c>
      <c r="R237" s="23" t="s">
        <v>60</v>
      </c>
      <c r="S237" s="23" t="s">
        <v>994</v>
      </c>
      <c r="T237" s="23" t="s">
        <v>37</v>
      </c>
    </row>
    <row r="238" s="17" customFormat="1" hidden="1" customHeight="1" spans="3:20">
      <c r="C238" s="23" t="s">
        <v>880</v>
      </c>
      <c r="D238" s="23" t="s">
        <v>995</v>
      </c>
      <c r="E238" s="23" t="s">
        <v>23</v>
      </c>
      <c r="F238" s="23" t="s">
        <v>24</v>
      </c>
      <c r="G238" s="23" t="s">
        <v>972</v>
      </c>
      <c r="H238" s="23" t="s">
        <v>45</v>
      </c>
      <c r="I238" s="26" t="s">
        <v>46</v>
      </c>
      <c r="J238" s="23" t="s">
        <v>996</v>
      </c>
      <c r="K238" s="23" t="s">
        <v>997</v>
      </c>
      <c r="L238" s="23" t="s">
        <v>571</v>
      </c>
      <c r="M238" s="23" t="s">
        <v>58</v>
      </c>
      <c r="N238" s="23" t="s">
        <v>32</v>
      </c>
      <c r="O238" s="23" t="s">
        <v>197</v>
      </c>
      <c r="P238" s="27" t="str">
        <f>HYPERLINK("https://ovopark.oss-cn-hangzhou.aliyuncs.com/2022/06/18/0_62_20220618163313_9693.png?x-oss-process=image/resize,w_700,l_700","查看图片")</f>
        <v>查看图片</v>
      </c>
      <c r="Q238" s="27" t="str">
        <f>HYPERLINK("http://ovopark.oss-cn-hangzhou.aliyuncs.com/5911_325439701522619_image_1655696262172.jpg","查看图片")</f>
        <v>查看图片</v>
      </c>
      <c r="R238" s="23" t="s">
        <v>60</v>
      </c>
      <c r="S238" s="23" t="s">
        <v>998</v>
      </c>
      <c r="T238" s="23" t="s">
        <v>37</v>
      </c>
    </row>
    <row r="239" s="17" customFormat="1" hidden="1" customHeight="1" spans="3:20">
      <c r="C239" s="23" t="s">
        <v>812</v>
      </c>
      <c r="D239" s="23" t="s">
        <v>813</v>
      </c>
      <c r="E239" s="23" t="s">
        <v>23</v>
      </c>
      <c r="F239" s="23" t="s">
        <v>24</v>
      </c>
      <c r="G239" s="23" t="s">
        <v>999</v>
      </c>
      <c r="H239" s="23" t="s">
        <v>1000</v>
      </c>
      <c r="I239" s="26" t="s">
        <v>45</v>
      </c>
      <c r="J239" s="23" t="s">
        <v>1001</v>
      </c>
      <c r="K239" s="26" t="s">
        <v>1002</v>
      </c>
      <c r="L239" s="23" t="s">
        <v>1003</v>
      </c>
      <c r="M239" s="23" t="s">
        <v>58</v>
      </c>
      <c r="N239" s="23" t="s">
        <v>32</v>
      </c>
      <c r="O239" s="23" t="s">
        <v>803</v>
      </c>
      <c r="P239" s="23" t="s">
        <v>34</v>
      </c>
      <c r="Q239" s="27" t="str">
        <f>HYPERLINK("https://ovopark.oss-cn-hangzhou.aliyuncs.com/2022/06/18/0_62_20220618121651_7804.jpeg","查看图片")</f>
        <v>查看图片</v>
      </c>
      <c r="R239" s="23" t="s">
        <v>60</v>
      </c>
      <c r="S239" s="23" t="s">
        <v>1004</v>
      </c>
      <c r="T239" s="23" t="s">
        <v>37</v>
      </c>
    </row>
    <row r="240" s="17" customFormat="1" hidden="1" customHeight="1" spans="3:20">
      <c r="C240" s="23" t="s">
        <v>833</v>
      </c>
      <c r="D240" s="23" t="s">
        <v>834</v>
      </c>
      <c r="E240" s="23" t="s">
        <v>23</v>
      </c>
      <c r="F240" s="23" t="s">
        <v>24</v>
      </c>
      <c r="G240" s="23" t="s">
        <v>999</v>
      </c>
      <c r="H240" s="23" t="s">
        <v>1000</v>
      </c>
      <c r="I240" s="26" t="s">
        <v>45</v>
      </c>
      <c r="J240" s="23" t="s">
        <v>1005</v>
      </c>
      <c r="K240" s="26" t="s">
        <v>1006</v>
      </c>
      <c r="L240" s="23" t="s">
        <v>1003</v>
      </c>
      <c r="M240" s="23" t="s">
        <v>58</v>
      </c>
      <c r="N240" s="23" t="s">
        <v>32</v>
      </c>
      <c r="O240" s="23" t="s">
        <v>803</v>
      </c>
      <c r="P240" s="23" t="s">
        <v>34</v>
      </c>
      <c r="Q240" s="27" t="str">
        <f>HYPERLINK("https://ovopark.oss-cn-hangzhou.aliyuncs.com/2022/06/18/0_62_20220618121945_8847.jpeg","查看图片")</f>
        <v>查看图片</v>
      </c>
      <c r="R240" s="23" t="s">
        <v>60</v>
      </c>
      <c r="S240" s="23" t="s">
        <v>1007</v>
      </c>
      <c r="T240" s="23" t="s">
        <v>37</v>
      </c>
    </row>
    <row r="241" s="17" customFormat="1" hidden="1" customHeight="1" spans="3:20">
      <c r="C241" s="23" t="s">
        <v>1008</v>
      </c>
      <c r="D241" s="23" t="s">
        <v>1009</v>
      </c>
      <c r="E241" s="23" t="s">
        <v>23</v>
      </c>
      <c r="F241" s="23" t="s">
        <v>24</v>
      </c>
      <c r="G241" s="23" t="s">
        <v>999</v>
      </c>
      <c r="H241" s="23" t="s">
        <v>1000</v>
      </c>
      <c r="I241" s="26" t="s">
        <v>45</v>
      </c>
      <c r="J241" s="23" t="s">
        <v>1010</v>
      </c>
      <c r="K241" s="26" t="s">
        <v>1011</v>
      </c>
      <c r="L241" s="23" t="s">
        <v>1003</v>
      </c>
      <c r="M241" s="23" t="s">
        <v>58</v>
      </c>
      <c r="N241" s="23" t="s">
        <v>32</v>
      </c>
      <c r="O241" s="23" t="s">
        <v>803</v>
      </c>
      <c r="P241" s="23" t="s">
        <v>34</v>
      </c>
      <c r="Q241" s="27" t="str">
        <f>HYPERLINK("https://ovopark.oss-cn-hangzhou.aliyuncs.com/2022/06/18/0_62_20220618151704_4886.jpeg","查看图片")</f>
        <v>查看图片</v>
      </c>
      <c r="R241" s="23" t="s">
        <v>60</v>
      </c>
      <c r="S241" s="23" t="s">
        <v>1012</v>
      </c>
      <c r="T241" s="23" t="s">
        <v>37</v>
      </c>
    </row>
    <row r="242" s="17" customFormat="1" hidden="1" customHeight="1" spans="3:20">
      <c r="C242" s="23" t="s">
        <v>805</v>
      </c>
      <c r="D242" s="23" t="s">
        <v>809</v>
      </c>
      <c r="E242" s="23" t="s">
        <v>23</v>
      </c>
      <c r="F242" s="23" t="s">
        <v>24</v>
      </c>
      <c r="G242" s="23" t="s">
        <v>999</v>
      </c>
      <c r="H242" s="23" t="s">
        <v>1000</v>
      </c>
      <c r="I242" s="26" t="s">
        <v>45</v>
      </c>
      <c r="J242" s="23" t="s">
        <v>1013</v>
      </c>
      <c r="K242" s="26" t="s">
        <v>1014</v>
      </c>
      <c r="L242" s="23" t="s">
        <v>1003</v>
      </c>
      <c r="M242" s="23" t="s">
        <v>58</v>
      </c>
      <c r="N242" s="23" t="s">
        <v>32</v>
      </c>
      <c r="O242" s="23" t="s">
        <v>803</v>
      </c>
      <c r="P242" s="23" t="s">
        <v>34</v>
      </c>
      <c r="Q242" s="27" t="str">
        <f>HYPERLINK("https://ovopark.oss-cn-hangzhou.aliyuncs.com/2022/06/18/0_62_20220618152007_7607.jpeg","查看图片")</f>
        <v>查看图片</v>
      </c>
      <c r="R242" s="23" t="s">
        <v>60</v>
      </c>
      <c r="S242" s="23" t="s">
        <v>1015</v>
      </c>
      <c r="T242" s="23" t="s">
        <v>37</v>
      </c>
    </row>
    <row r="243" s="17" customFormat="1" customHeight="1" spans="1:41">
      <c r="A243" s="20"/>
      <c r="B243" s="20" t="s">
        <v>1016</v>
      </c>
      <c r="C243" s="23" t="s">
        <v>138</v>
      </c>
      <c r="D243" s="23" t="s">
        <v>152</v>
      </c>
      <c r="E243" s="23" t="s">
        <v>23</v>
      </c>
      <c r="F243" s="23" t="s">
        <v>24</v>
      </c>
      <c r="G243" s="23" t="s">
        <v>1017</v>
      </c>
      <c r="H243" s="23" t="s">
        <v>858</v>
      </c>
      <c r="I243" s="26" t="s">
        <v>859</v>
      </c>
      <c r="J243" s="23" t="s">
        <v>1018</v>
      </c>
      <c r="K243" s="23" t="s">
        <v>1019</v>
      </c>
      <c r="L243" s="23" t="s">
        <v>1020</v>
      </c>
      <c r="M243" s="25" t="s">
        <v>31</v>
      </c>
      <c r="N243" s="23" t="s">
        <v>32</v>
      </c>
      <c r="O243" s="23" t="s">
        <v>863</v>
      </c>
      <c r="P243" s="23" t="s">
        <v>34</v>
      </c>
      <c r="Q243" s="23" t="s">
        <v>34</v>
      </c>
      <c r="R243" s="23" t="s">
        <v>35</v>
      </c>
      <c r="S243" s="23" t="s">
        <v>1021</v>
      </c>
      <c r="T243" s="23" t="s">
        <v>37</v>
      </c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1"/>
      <c r="AI243" s="20"/>
      <c r="AJ243" s="20"/>
      <c r="AK243" s="20"/>
      <c r="AL243" s="20"/>
      <c r="AM243" s="20"/>
      <c r="AN243" s="20"/>
      <c r="AO243" s="20"/>
    </row>
    <row r="244" s="17" customFormat="1" customHeight="1" spans="1:41">
      <c r="A244" s="20"/>
      <c r="B244" s="20" t="s">
        <v>1016</v>
      </c>
      <c r="C244" s="23" t="s">
        <v>138</v>
      </c>
      <c r="D244" s="23" t="s">
        <v>147</v>
      </c>
      <c r="E244" s="23" t="s">
        <v>23</v>
      </c>
      <c r="F244" s="23" t="s">
        <v>24</v>
      </c>
      <c r="G244" s="23" t="s">
        <v>1017</v>
      </c>
      <c r="H244" s="23" t="s">
        <v>858</v>
      </c>
      <c r="I244" s="26" t="s">
        <v>859</v>
      </c>
      <c r="J244" s="23" t="s">
        <v>1022</v>
      </c>
      <c r="K244" s="23" t="s">
        <v>1023</v>
      </c>
      <c r="L244" s="23" t="s">
        <v>1020</v>
      </c>
      <c r="M244" s="25" t="s">
        <v>31</v>
      </c>
      <c r="N244" s="23" t="s">
        <v>32</v>
      </c>
      <c r="O244" s="23" t="s">
        <v>863</v>
      </c>
      <c r="P244" s="23" t="s">
        <v>34</v>
      </c>
      <c r="Q244" s="23" t="s">
        <v>34</v>
      </c>
      <c r="R244" s="23" t="s">
        <v>35</v>
      </c>
      <c r="S244" s="23" t="s">
        <v>1024</v>
      </c>
      <c r="T244" s="23" t="s">
        <v>37</v>
      </c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1"/>
      <c r="AI244" s="20"/>
      <c r="AJ244" s="20"/>
      <c r="AK244" s="20"/>
      <c r="AL244" s="20"/>
      <c r="AM244" s="20"/>
      <c r="AN244" s="20"/>
      <c r="AO244" s="20"/>
    </row>
    <row r="245" s="17" customFormat="1" customHeight="1" spans="1:41">
      <c r="A245" s="20"/>
      <c r="B245" s="20" t="s">
        <v>1016</v>
      </c>
      <c r="C245" s="23" t="s">
        <v>138</v>
      </c>
      <c r="D245" s="23" t="s">
        <v>174</v>
      </c>
      <c r="E245" s="23" t="s">
        <v>23</v>
      </c>
      <c r="F245" s="23" t="s">
        <v>24</v>
      </c>
      <c r="G245" s="23" t="s">
        <v>1025</v>
      </c>
      <c r="H245" s="23" t="s">
        <v>858</v>
      </c>
      <c r="I245" s="26" t="s">
        <v>859</v>
      </c>
      <c r="J245" s="23" t="s">
        <v>1026</v>
      </c>
      <c r="K245" s="23" t="s">
        <v>1027</v>
      </c>
      <c r="L245" s="23" t="s">
        <v>1020</v>
      </c>
      <c r="M245" s="25" t="s">
        <v>31</v>
      </c>
      <c r="N245" s="23" t="s">
        <v>32</v>
      </c>
      <c r="O245" s="23" t="s">
        <v>863</v>
      </c>
      <c r="P245" s="23" t="s">
        <v>34</v>
      </c>
      <c r="Q245" s="23" t="s">
        <v>34</v>
      </c>
      <c r="R245" s="23" t="s">
        <v>35</v>
      </c>
      <c r="S245" s="23" t="s">
        <v>1028</v>
      </c>
      <c r="T245" s="23" t="s">
        <v>37</v>
      </c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1"/>
      <c r="AI245" s="20"/>
      <c r="AJ245" s="20"/>
      <c r="AK245" s="20"/>
      <c r="AL245" s="20"/>
      <c r="AM245" s="20"/>
      <c r="AN245" s="20"/>
      <c r="AO245" s="20"/>
    </row>
    <row r="246" s="17" customFormat="1" customHeight="1" spans="1:41">
      <c r="A246" s="20">
        <v>709</v>
      </c>
      <c r="B246" s="20" t="s">
        <v>856</v>
      </c>
      <c r="C246" s="23" t="s">
        <v>138</v>
      </c>
      <c r="D246" s="23" t="s">
        <v>179</v>
      </c>
      <c r="E246" s="23" t="s">
        <v>23</v>
      </c>
      <c r="F246" s="23" t="s">
        <v>24</v>
      </c>
      <c r="G246" s="23" t="s">
        <v>1029</v>
      </c>
      <c r="H246" s="23" t="s">
        <v>858</v>
      </c>
      <c r="I246" s="26" t="s">
        <v>859</v>
      </c>
      <c r="J246" s="23" t="s">
        <v>1030</v>
      </c>
      <c r="K246" s="23" t="s">
        <v>1031</v>
      </c>
      <c r="L246" s="23" t="s">
        <v>862</v>
      </c>
      <c r="M246" s="25" t="s">
        <v>31</v>
      </c>
      <c r="N246" s="23" t="s">
        <v>32</v>
      </c>
      <c r="O246" s="23" t="s">
        <v>863</v>
      </c>
      <c r="P246" s="23" t="s">
        <v>34</v>
      </c>
      <c r="Q246" s="27" t="str">
        <f>HYPERLINK("https://ovopark.oss-cn-hangzhou.aliyuncs.com/2022/06/20/image_1655695504870.jpg","查看图片")</f>
        <v>查看图片</v>
      </c>
      <c r="R246" s="23" t="s">
        <v>35</v>
      </c>
      <c r="S246" s="23" t="s">
        <v>1032</v>
      </c>
      <c r="T246" s="23" t="s">
        <v>37</v>
      </c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1"/>
      <c r="AI246" s="20"/>
      <c r="AJ246" s="20"/>
      <c r="AK246" s="20"/>
      <c r="AL246" s="20"/>
      <c r="AM246" s="20"/>
      <c r="AN246" s="20"/>
      <c r="AO246" s="20"/>
    </row>
    <row r="247" s="17" customFormat="1" customHeight="1" spans="1:41">
      <c r="A247" s="20">
        <v>709</v>
      </c>
      <c r="B247" s="20" t="s">
        <v>856</v>
      </c>
      <c r="C247" s="23" t="s">
        <v>138</v>
      </c>
      <c r="D247" s="23" t="s">
        <v>174</v>
      </c>
      <c r="E247" s="23" t="s">
        <v>23</v>
      </c>
      <c r="F247" s="23" t="s">
        <v>24</v>
      </c>
      <c r="G247" s="23" t="s">
        <v>1029</v>
      </c>
      <c r="H247" s="23" t="s">
        <v>858</v>
      </c>
      <c r="I247" s="26" t="s">
        <v>859</v>
      </c>
      <c r="J247" s="23" t="s">
        <v>1033</v>
      </c>
      <c r="K247" s="23" t="s">
        <v>1034</v>
      </c>
      <c r="L247" s="23" t="s">
        <v>862</v>
      </c>
      <c r="M247" s="25" t="s">
        <v>31</v>
      </c>
      <c r="N247" s="23" t="s">
        <v>32</v>
      </c>
      <c r="O247" s="23" t="s">
        <v>863</v>
      </c>
      <c r="P247" s="23" t="s">
        <v>34</v>
      </c>
      <c r="Q247" s="27" t="str">
        <f>HYPERLINK("https://ovopark.oss-cn-hangzhou.aliyuncs.com/2022/06/20/image_1655695527643.jpg","查看图片")</f>
        <v>查看图片</v>
      </c>
      <c r="R247" s="23" t="s">
        <v>35</v>
      </c>
      <c r="S247" s="23" t="s">
        <v>1035</v>
      </c>
      <c r="T247" s="23" t="s">
        <v>37</v>
      </c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1"/>
      <c r="AI247" s="20"/>
      <c r="AJ247" s="20"/>
      <c r="AK247" s="20"/>
      <c r="AL247" s="20"/>
      <c r="AM247" s="20"/>
      <c r="AN247" s="20"/>
      <c r="AO247" s="20"/>
    </row>
    <row r="248" s="17" customFormat="1" customHeight="1" spans="1:41">
      <c r="A248" s="20">
        <v>709</v>
      </c>
      <c r="B248" s="20" t="s">
        <v>856</v>
      </c>
      <c r="C248" s="23" t="s">
        <v>138</v>
      </c>
      <c r="D248" s="23" t="s">
        <v>183</v>
      </c>
      <c r="E248" s="23" t="s">
        <v>23</v>
      </c>
      <c r="F248" s="23" t="s">
        <v>24</v>
      </c>
      <c r="G248" s="23" t="s">
        <v>1029</v>
      </c>
      <c r="H248" s="23" t="s">
        <v>858</v>
      </c>
      <c r="I248" s="26" t="s">
        <v>859</v>
      </c>
      <c r="J248" s="23" t="s">
        <v>1036</v>
      </c>
      <c r="K248" s="23" t="s">
        <v>1037</v>
      </c>
      <c r="L248" s="23" t="s">
        <v>862</v>
      </c>
      <c r="M248" s="25" t="s">
        <v>31</v>
      </c>
      <c r="N248" s="23" t="s">
        <v>32</v>
      </c>
      <c r="O248" s="23" t="s">
        <v>863</v>
      </c>
      <c r="P248" s="23" t="s">
        <v>34</v>
      </c>
      <c r="Q248" s="27" t="str">
        <f>HYPERLINK("https://ovopark.oss-cn-hangzhou.aliyuncs.com/2022/06/20/image_1655695576251.jpg","查看图片")</f>
        <v>查看图片</v>
      </c>
      <c r="R248" s="23" t="s">
        <v>35</v>
      </c>
      <c r="S248" s="23" t="s">
        <v>1038</v>
      </c>
      <c r="T248" s="23" t="s">
        <v>37</v>
      </c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1"/>
      <c r="AI248" s="20"/>
      <c r="AJ248" s="20"/>
      <c r="AK248" s="20"/>
      <c r="AL248" s="20"/>
      <c r="AM248" s="20"/>
      <c r="AN248" s="20"/>
      <c r="AO248" s="20"/>
    </row>
    <row r="249" s="17" customFormat="1" customHeight="1" spans="1:41">
      <c r="A249" s="20">
        <v>709</v>
      </c>
      <c r="B249" s="20" t="s">
        <v>856</v>
      </c>
      <c r="C249" s="23" t="s">
        <v>21</v>
      </c>
      <c r="D249" s="23" t="s">
        <v>22</v>
      </c>
      <c r="E249" s="23" t="s">
        <v>23</v>
      </c>
      <c r="F249" s="23" t="s">
        <v>24</v>
      </c>
      <c r="G249" s="23" t="s">
        <v>1039</v>
      </c>
      <c r="H249" s="23" t="s">
        <v>858</v>
      </c>
      <c r="I249" s="26" t="s">
        <v>859</v>
      </c>
      <c r="J249" s="23" t="s">
        <v>1040</v>
      </c>
      <c r="K249" s="23" t="s">
        <v>1041</v>
      </c>
      <c r="L249" s="23" t="s">
        <v>862</v>
      </c>
      <c r="M249" s="25" t="s">
        <v>31</v>
      </c>
      <c r="N249" s="23" t="s">
        <v>32</v>
      </c>
      <c r="O249" s="23" t="s">
        <v>863</v>
      </c>
      <c r="P249" s="23" t="s">
        <v>34</v>
      </c>
      <c r="Q249" s="27" t="str">
        <f>HYPERLINK("https://ovopark.oss-cn-hangzhou.aliyuncs.com/2022/06/20/image_1655695652416.jpg","查看图片")</f>
        <v>查看图片</v>
      </c>
      <c r="R249" s="23" t="s">
        <v>35</v>
      </c>
      <c r="S249" s="23" t="s">
        <v>1042</v>
      </c>
      <c r="T249" s="23" t="s">
        <v>37</v>
      </c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1"/>
      <c r="AI249" s="20"/>
      <c r="AJ249" s="20"/>
      <c r="AK249" s="20"/>
      <c r="AL249" s="20"/>
      <c r="AM249" s="20"/>
      <c r="AN249" s="20"/>
      <c r="AO249" s="20"/>
    </row>
    <row r="250" s="17" customFormat="1" customHeight="1" spans="1:41">
      <c r="A250" s="20">
        <v>709</v>
      </c>
      <c r="B250" s="20" t="s">
        <v>856</v>
      </c>
      <c r="C250" s="23" t="s">
        <v>138</v>
      </c>
      <c r="D250" s="23" t="s">
        <v>147</v>
      </c>
      <c r="E250" s="23" t="s">
        <v>23</v>
      </c>
      <c r="F250" s="23" t="s">
        <v>24</v>
      </c>
      <c r="G250" s="23" t="s">
        <v>857</v>
      </c>
      <c r="H250" s="23" t="s">
        <v>858</v>
      </c>
      <c r="I250" s="26" t="s">
        <v>859</v>
      </c>
      <c r="J250" s="23" t="s">
        <v>1043</v>
      </c>
      <c r="K250" s="23" t="s">
        <v>1044</v>
      </c>
      <c r="L250" s="23" t="s">
        <v>862</v>
      </c>
      <c r="M250" s="25" t="s">
        <v>31</v>
      </c>
      <c r="N250" s="23" t="s">
        <v>32</v>
      </c>
      <c r="O250" s="23" t="s">
        <v>863</v>
      </c>
      <c r="P250" s="23" t="s">
        <v>34</v>
      </c>
      <c r="Q250" s="27" t="str">
        <f>HYPERLINK("https://ovopark.oss-cn-hangzhou.aliyuncs.com/2022/06/20/image_1655695764123.jpg","查看图片")</f>
        <v>查看图片</v>
      </c>
      <c r="R250" s="23" t="s">
        <v>35</v>
      </c>
      <c r="S250" s="23" t="s">
        <v>1045</v>
      </c>
      <c r="T250" s="23" t="s">
        <v>37</v>
      </c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1"/>
      <c r="AI250" s="20"/>
      <c r="AJ250" s="20"/>
      <c r="AK250" s="20"/>
      <c r="AL250" s="20"/>
      <c r="AM250" s="20"/>
      <c r="AN250" s="20"/>
      <c r="AO250" s="20"/>
    </row>
    <row r="251" s="17" customFormat="1" hidden="1" customHeight="1" spans="3:20">
      <c r="C251" s="23" t="s">
        <v>138</v>
      </c>
      <c r="D251" s="23" t="s">
        <v>152</v>
      </c>
      <c r="E251" s="23" t="s">
        <v>23</v>
      </c>
      <c r="F251" s="23" t="s">
        <v>24</v>
      </c>
      <c r="G251" s="23" t="s">
        <v>1046</v>
      </c>
      <c r="H251" s="23" t="s">
        <v>1000</v>
      </c>
      <c r="I251" s="26" t="s">
        <v>45</v>
      </c>
      <c r="J251" s="23" t="s">
        <v>1047</v>
      </c>
      <c r="K251" s="23" t="s">
        <v>1048</v>
      </c>
      <c r="L251" s="23" t="s">
        <v>1049</v>
      </c>
      <c r="M251" s="23" t="s">
        <v>58</v>
      </c>
      <c r="N251" s="23" t="s">
        <v>32</v>
      </c>
      <c r="O251" s="23" t="s">
        <v>465</v>
      </c>
      <c r="P251" s="23" t="s">
        <v>34</v>
      </c>
      <c r="Q251" s="27" t="str">
        <f>HYPERLINK("https://ovopark.oss-cn-hangzhou.aliyuncs.com/2022/06/17/0_62_20220617155450_1421.jpeg","查看图片")</f>
        <v>查看图片</v>
      </c>
      <c r="R251" s="23" t="s">
        <v>35</v>
      </c>
      <c r="S251" s="23" t="s">
        <v>1050</v>
      </c>
      <c r="T251" s="23" t="s">
        <v>37</v>
      </c>
    </row>
    <row r="252" s="17" customFormat="1" hidden="1" customHeight="1" spans="3:20">
      <c r="C252" s="23" t="s">
        <v>138</v>
      </c>
      <c r="D252" s="23" t="s">
        <v>147</v>
      </c>
      <c r="E252" s="23" t="s">
        <v>23</v>
      </c>
      <c r="F252" s="23" t="s">
        <v>24</v>
      </c>
      <c r="G252" s="23" t="s">
        <v>1046</v>
      </c>
      <c r="H252" s="23" t="s">
        <v>1000</v>
      </c>
      <c r="I252" s="26" t="s">
        <v>45</v>
      </c>
      <c r="J252" s="23" t="s">
        <v>1051</v>
      </c>
      <c r="K252" s="23" t="s">
        <v>1052</v>
      </c>
      <c r="L252" s="23" t="s">
        <v>1049</v>
      </c>
      <c r="M252" s="23" t="s">
        <v>58</v>
      </c>
      <c r="N252" s="23" t="s">
        <v>32</v>
      </c>
      <c r="O252" s="23" t="s">
        <v>465</v>
      </c>
      <c r="P252" s="23" t="s">
        <v>34</v>
      </c>
      <c r="Q252" s="27" t="str">
        <f>HYPERLINK("https://ovopark.oss-cn-hangzhou.aliyuncs.com/2022/06/17/0_62_20220617155318_142.jpeg","查看图片")</f>
        <v>查看图片</v>
      </c>
      <c r="R252" s="23" t="s">
        <v>35</v>
      </c>
      <c r="S252" s="23" t="s">
        <v>1053</v>
      </c>
      <c r="T252" s="23" t="s">
        <v>37</v>
      </c>
    </row>
    <row r="253" s="17" customFormat="1" customHeight="1" spans="1:41">
      <c r="A253" s="20">
        <v>117491</v>
      </c>
      <c r="B253" s="20" t="s">
        <v>425</v>
      </c>
      <c r="C253" s="23" t="s">
        <v>138</v>
      </c>
      <c r="D253" s="23" t="s">
        <v>152</v>
      </c>
      <c r="E253" s="23" t="s">
        <v>23</v>
      </c>
      <c r="F253" s="23" t="s">
        <v>24</v>
      </c>
      <c r="G253" s="23" t="s">
        <v>1054</v>
      </c>
      <c r="H253" s="23" t="s">
        <v>1000</v>
      </c>
      <c r="I253" s="26" t="s">
        <v>45</v>
      </c>
      <c r="J253" s="23" t="s">
        <v>1055</v>
      </c>
      <c r="K253" s="23" t="s">
        <v>1056</v>
      </c>
      <c r="L253" s="23" t="s">
        <v>429</v>
      </c>
      <c r="M253" s="25" t="s">
        <v>31</v>
      </c>
      <c r="N253" s="23" t="s">
        <v>32</v>
      </c>
      <c r="O253" s="23" t="s">
        <v>197</v>
      </c>
      <c r="P253" s="23" t="s">
        <v>34</v>
      </c>
      <c r="Q253" s="27" t="str">
        <f>HYPERLINK("http://ovopark.oss-cn-hangzhou.aliyuncs.com/62_1655690578400_5695_327004099003227_.jpg","查看图片")</f>
        <v>查看图片</v>
      </c>
      <c r="R253" s="23" t="s">
        <v>35</v>
      </c>
      <c r="S253" s="23" t="s">
        <v>1057</v>
      </c>
      <c r="T253" s="23" t="s">
        <v>37</v>
      </c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1"/>
      <c r="AI253" s="20"/>
      <c r="AJ253" s="20"/>
      <c r="AK253" s="20"/>
      <c r="AL253" s="20"/>
      <c r="AM253" s="20"/>
      <c r="AN253" s="20"/>
      <c r="AO253" s="20"/>
    </row>
    <row r="254" s="17" customFormat="1" customHeight="1" spans="1:41">
      <c r="A254" s="20">
        <v>117491</v>
      </c>
      <c r="B254" s="20" t="s">
        <v>425</v>
      </c>
      <c r="C254" s="23" t="s">
        <v>138</v>
      </c>
      <c r="D254" s="23" t="s">
        <v>147</v>
      </c>
      <c r="E254" s="23" t="s">
        <v>23</v>
      </c>
      <c r="F254" s="23" t="s">
        <v>24</v>
      </c>
      <c r="G254" s="23" t="s">
        <v>1054</v>
      </c>
      <c r="H254" s="23" t="s">
        <v>1000</v>
      </c>
      <c r="I254" s="26" t="s">
        <v>45</v>
      </c>
      <c r="J254" s="23" t="s">
        <v>1058</v>
      </c>
      <c r="K254" s="23" t="s">
        <v>1059</v>
      </c>
      <c r="L254" s="23" t="s">
        <v>429</v>
      </c>
      <c r="M254" s="25" t="s">
        <v>31</v>
      </c>
      <c r="N254" s="23" t="s">
        <v>32</v>
      </c>
      <c r="O254" s="23" t="s">
        <v>197</v>
      </c>
      <c r="P254" s="23" t="s">
        <v>34</v>
      </c>
      <c r="Q254" s="27" t="str">
        <f>HYPERLINK("http://ovopark.oss-cn-hangzhou.aliyuncs.com/62_1655690590572_5695_327016285880829_.jpg","查看图片")</f>
        <v>查看图片</v>
      </c>
      <c r="R254" s="23" t="s">
        <v>35</v>
      </c>
      <c r="S254" s="23" t="s">
        <v>1060</v>
      </c>
      <c r="T254" s="23" t="s">
        <v>37</v>
      </c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1"/>
      <c r="AI254" s="20"/>
      <c r="AJ254" s="20"/>
      <c r="AK254" s="20"/>
      <c r="AL254" s="20"/>
      <c r="AM254" s="20"/>
      <c r="AN254" s="20"/>
      <c r="AO254" s="20"/>
    </row>
    <row r="255" s="17" customFormat="1" customHeight="1" spans="1:41">
      <c r="A255" s="20">
        <v>111219</v>
      </c>
      <c r="B255" s="20" t="s">
        <v>191</v>
      </c>
      <c r="C255" s="23" t="s">
        <v>138</v>
      </c>
      <c r="D255" s="23" t="s">
        <v>152</v>
      </c>
      <c r="E255" s="23" t="s">
        <v>23</v>
      </c>
      <c r="F255" s="23" t="s">
        <v>24</v>
      </c>
      <c r="G255" s="23" t="s">
        <v>1061</v>
      </c>
      <c r="H255" s="23" t="s">
        <v>1000</v>
      </c>
      <c r="I255" s="26" t="s">
        <v>45</v>
      </c>
      <c r="J255" s="23" t="s">
        <v>1062</v>
      </c>
      <c r="K255" s="23" t="s">
        <v>1063</v>
      </c>
      <c r="L255" s="23" t="s">
        <v>196</v>
      </c>
      <c r="M255" s="25" t="s">
        <v>31</v>
      </c>
      <c r="N255" s="23" t="s">
        <v>32</v>
      </c>
      <c r="O255" s="23" t="s">
        <v>197</v>
      </c>
      <c r="P255" s="23" t="s">
        <v>34</v>
      </c>
      <c r="Q255" s="23" t="s">
        <v>34</v>
      </c>
      <c r="R255" s="23" t="s">
        <v>35</v>
      </c>
      <c r="S255" s="23" t="s">
        <v>1064</v>
      </c>
      <c r="T255" s="23" t="s">
        <v>37</v>
      </c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1"/>
      <c r="AI255" s="20"/>
      <c r="AJ255" s="20"/>
      <c r="AK255" s="20"/>
      <c r="AL255" s="20"/>
      <c r="AM255" s="20"/>
      <c r="AN255" s="20"/>
      <c r="AO255" s="20"/>
    </row>
    <row r="256" s="17" customFormat="1" customHeight="1" spans="1:41">
      <c r="A256" s="20">
        <v>111219</v>
      </c>
      <c r="B256" s="20" t="s">
        <v>191</v>
      </c>
      <c r="C256" s="23" t="s">
        <v>138</v>
      </c>
      <c r="D256" s="23" t="s">
        <v>147</v>
      </c>
      <c r="E256" s="23" t="s">
        <v>23</v>
      </c>
      <c r="F256" s="23" t="s">
        <v>24</v>
      </c>
      <c r="G256" s="23" t="s">
        <v>1061</v>
      </c>
      <c r="H256" s="23" t="s">
        <v>1000</v>
      </c>
      <c r="I256" s="26" t="s">
        <v>45</v>
      </c>
      <c r="J256" s="23" t="s">
        <v>1065</v>
      </c>
      <c r="K256" s="23" t="s">
        <v>1066</v>
      </c>
      <c r="L256" s="23" t="s">
        <v>196</v>
      </c>
      <c r="M256" s="25" t="s">
        <v>31</v>
      </c>
      <c r="N256" s="23" t="s">
        <v>32</v>
      </c>
      <c r="O256" s="23" t="s">
        <v>197</v>
      </c>
      <c r="P256" s="23" t="s">
        <v>34</v>
      </c>
      <c r="Q256" s="23" t="s">
        <v>34</v>
      </c>
      <c r="R256" s="23" t="s">
        <v>35</v>
      </c>
      <c r="S256" s="23" t="s">
        <v>1067</v>
      </c>
      <c r="T256" s="23" t="s">
        <v>37</v>
      </c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1"/>
      <c r="AI256" s="20"/>
      <c r="AJ256" s="20"/>
      <c r="AK256" s="20"/>
      <c r="AL256" s="20"/>
      <c r="AM256" s="20"/>
      <c r="AN256" s="20"/>
      <c r="AO256" s="20"/>
    </row>
    <row r="257" s="17" customFormat="1" customHeight="1" spans="1:41">
      <c r="A257" s="20"/>
      <c r="B257" s="20" t="s">
        <v>460</v>
      </c>
      <c r="C257" s="23" t="s">
        <v>21</v>
      </c>
      <c r="D257" s="23" t="s">
        <v>22</v>
      </c>
      <c r="E257" s="23" t="s">
        <v>23</v>
      </c>
      <c r="F257" s="23" t="s">
        <v>461</v>
      </c>
      <c r="G257" s="23" t="s">
        <v>1068</v>
      </c>
      <c r="H257" s="23" t="s">
        <v>1000</v>
      </c>
      <c r="I257" s="26" t="s">
        <v>45</v>
      </c>
      <c r="J257" s="23" t="s">
        <v>463</v>
      </c>
      <c r="K257" s="23" t="s">
        <v>463</v>
      </c>
      <c r="L257" s="23" t="s">
        <v>464</v>
      </c>
      <c r="M257" s="25" t="s">
        <v>31</v>
      </c>
      <c r="N257" s="23" t="s">
        <v>464</v>
      </c>
      <c r="O257" s="23" t="s">
        <v>465</v>
      </c>
      <c r="P257" s="23" t="s">
        <v>34</v>
      </c>
      <c r="Q257" s="23" t="s">
        <v>34</v>
      </c>
      <c r="R257" s="23" t="s">
        <v>35</v>
      </c>
      <c r="S257" s="23" t="s">
        <v>1069</v>
      </c>
      <c r="T257" s="23" t="s">
        <v>37</v>
      </c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1"/>
      <c r="AI257" s="20"/>
      <c r="AJ257" s="20"/>
      <c r="AK257" s="20"/>
      <c r="AL257" s="20"/>
      <c r="AM257" s="20"/>
      <c r="AN257" s="20"/>
      <c r="AO257" s="20"/>
    </row>
    <row r="258" s="17" customFormat="1" customHeight="1" spans="1:41">
      <c r="A258" s="20"/>
      <c r="B258" s="20" t="s">
        <v>460</v>
      </c>
      <c r="C258" s="23" t="s">
        <v>138</v>
      </c>
      <c r="D258" s="23" t="s">
        <v>168</v>
      </c>
      <c r="E258" s="23" t="s">
        <v>23</v>
      </c>
      <c r="F258" s="23" t="s">
        <v>461</v>
      </c>
      <c r="G258" s="23" t="s">
        <v>1070</v>
      </c>
      <c r="H258" s="23" t="s">
        <v>1000</v>
      </c>
      <c r="I258" s="26" t="s">
        <v>45</v>
      </c>
      <c r="J258" s="23" t="s">
        <v>463</v>
      </c>
      <c r="K258" s="23" t="s">
        <v>463</v>
      </c>
      <c r="L258" s="23" t="s">
        <v>464</v>
      </c>
      <c r="M258" s="25" t="s">
        <v>31</v>
      </c>
      <c r="N258" s="23" t="s">
        <v>464</v>
      </c>
      <c r="O258" s="23" t="s">
        <v>465</v>
      </c>
      <c r="P258" s="23" t="s">
        <v>34</v>
      </c>
      <c r="Q258" s="23" t="s">
        <v>34</v>
      </c>
      <c r="R258" s="23" t="s">
        <v>35</v>
      </c>
      <c r="S258" s="23" t="s">
        <v>1071</v>
      </c>
      <c r="T258" s="23" t="s">
        <v>37</v>
      </c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1"/>
      <c r="AI258" s="20"/>
      <c r="AJ258" s="20"/>
      <c r="AK258" s="20"/>
      <c r="AL258" s="20"/>
      <c r="AM258" s="20"/>
      <c r="AN258" s="20"/>
      <c r="AO258" s="20"/>
    </row>
    <row r="259" s="17" customFormat="1" ht="93" customHeight="1" spans="1:41">
      <c r="A259" s="20"/>
      <c r="B259" s="20" t="s">
        <v>1016</v>
      </c>
      <c r="C259" s="23" t="s">
        <v>138</v>
      </c>
      <c r="D259" s="23" t="s">
        <v>161</v>
      </c>
      <c r="E259" s="23" t="s">
        <v>23</v>
      </c>
      <c r="F259" s="23" t="s">
        <v>24</v>
      </c>
      <c r="G259" s="23" t="s">
        <v>1072</v>
      </c>
      <c r="H259" s="23" t="s">
        <v>858</v>
      </c>
      <c r="I259" s="26" t="s">
        <v>859</v>
      </c>
      <c r="J259" s="23" t="s">
        <v>1073</v>
      </c>
      <c r="K259" s="23" t="s">
        <v>1074</v>
      </c>
      <c r="L259" s="23" t="s">
        <v>1020</v>
      </c>
      <c r="M259" s="25" t="s">
        <v>31</v>
      </c>
      <c r="N259" s="23" t="s">
        <v>32</v>
      </c>
      <c r="O259" s="23" t="s">
        <v>863</v>
      </c>
      <c r="P259" s="23" t="s">
        <v>34</v>
      </c>
      <c r="Q259" s="27" t="str">
        <f>HYPERLINK("http://ovopark.oss-cn-hangzhou.aliyuncs.com/62_1655464721861_6265_106812109182118_.jpg","查看图片")</f>
        <v>查看图片</v>
      </c>
      <c r="R259" s="23" t="s">
        <v>35</v>
      </c>
      <c r="S259" s="23" t="s">
        <v>1075</v>
      </c>
      <c r="T259" s="23" t="s">
        <v>37</v>
      </c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1"/>
      <c r="AI259" s="20"/>
      <c r="AJ259" s="20"/>
      <c r="AK259" s="20"/>
      <c r="AL259" s="20"/>
      <c r="AM259" s="20"/>
      <c r="AN259" s="20"/>
      <c r="AO259" s="20"/>
    </row>
    <row r="260" s="17" customFormat="1" ht="80" customHeight="1" spans="1:41">
      <c r="A260" s="20"/>
      <c r="B260" s="20" t="s">
        <v>1016</v>
      </c>
      <c r="C260" s="23" t="s">
        <v>138</v>
      </c>
      <c r="D260" s="23" t="s">
        <v>139</v>
      </c>
      <c r="E260" s="23" t="s">
        <v>23</v>
      </c>
      <c r="F260" s="23" t="s">
        <v>24</v>
      </c>
      <c r="G260" s="23" t="s">
        <v>1072</v>
      </c>
      <c r="H260" s="23" t="s">
        <v>858</v>
      </c>
      <c r="I260" s="26" t="s">
        <v>859</v>
      </c>
      <c r="J260" s="23" t="s">
        <v>1076</v>
      </c>
      <c r="K260" s="23" t="s">
        <v>1077</v>
      </c>
      <c r="L260" s="23" t="s">
        <v>1020</v>
      </c>
      <c r="M260" s="25" t="s">
        <v>31</v>
      </c>
      <c r="N260" s="23" t="s">
        <v>32</v>
      </c>
      <c r="O260" s="23" t="s">
        <v>863</v>
      </c>
      <c r="P260" s="23" t="s">
        <v>34</v>
      </c>
      <c r="Q260" s="27" t="str">
        <f>HYPERLINK("http://ovopark.oss-cn-hangzhou.aliyuncs.com/62_1655464742504_6265_106832759981016_.jpg","查看图片")</f>
        <v>查看图片</v>
      </c>
      <c r="R260" s="23" t="s">
        <v>35</v>
      </c>
      <c r="S260" s="23" t="s">
        <v>1078</v>
      </c>
      <c r="T260" s="23" t="s">
        <v>37</v>
      </c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1"/>
      <c r="AI260" s="20"/>
      <c r="AJ260" s="20"/>
      <c r="AK260" s="20"/>
      <c r="AL260" s="20"/>
      <c r="AM260" s="20"/>
      <c r="AN260" s="20"/>
      <c r="AO260" s="20"/>
    </row>
    <row r="261" s="17" customFormat="1" customHeight="1" spans="1:41">
      <c r="A261" s="20"/>
      <c r="B261" s="20" t="s">
        <v>1016</v>
      </c>
      <c r="C261" s="23" t="s">
        <v>138</v>
      </c>
      <c r="D261" s="23" t="s">
        <v>156</v>
      </c>
      <c r="E261" s="23" t="s">
        <v>23</v>
      </c>
      <c r="F261" s="23" t="s">
        <v>24</v>
      </c>
      <c r="G261" s="23" t="s">
        <v>1072</v>
      </c>
      <c r="H261" s="23" t="s">
        <v>858</v>
      </c>
      <c r="I261" s="26" t="s">
        <v>859</v>
      </c>
      <c r="J261" s="23" t="s">
        <v>1079</v>
      </c>
      <c r="K261" s="23" t="s">
        <v>1080</v>
      </c>
      <c r="L261" s="23" t="s">
        <v>1020</v>
      </c>
      <c r="M261" s="25" t="s">
        <v>31</v>
      </c>
      <c r="N261" s="23" t="s">
        <v>32</v>
      </c>
      <c r="O261" s="23" t="s">
        <v>863</v>
      </c>
      <c r="P261" s="23" t="s">
        <v>34</v>
      </c>
      <c r="Q261" s="27" t="str">
        <f>HYPERLINK("http://ovopark.oss-cn-hangzhou.aliyuncs.com/62_1655464754931_6265_106845181248512_.jpg","查看图片")</f>
        <v>查看图片</v>
      </c>
      <c r="R261" s="23" t="s">
        <v>35</v>
      </c>
      <c r="S261" s="23" t="s">
        <v>1081</v>
      </c>
      <c r="T261" s="23" t="s">
        <v>37</v>
      </c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1"/>
      <c r="AI261" s="20"/>
      <c r="AJ261" s="20"/>
      <c r="AK261" s="20"/>
      <c r="AL261" s="20"/>
      <c r="AM261" s="20"/>
      <c r="AN261" s="20"/>
      <c r="AO261" s="20"/>
    </row>
    <row r="262" s="17" customFormat="1" ht="99" customHeight="1" spans="1:41">
      <c r="A262" s="20"/>
      <c r="B262" s="20" t="s">
        <v>1016</v>
      </c>
      <c r="C262" s="23" t="s">
        <v>21</v>
      </c>
      <c r="D262" s="23" t="s">
        <v>22</v>
      </c>
      <c r="E262" s="23" t="s">
        <v>23</v>
      </c>
      <c r="F262" s="23" t="s">
        <v>24</v>
      </c>
      <c r="G262" s="23" t="s">
        <v>1082</v>
      </c>
      <c r="H262" s="23" t="s">
        <v>858</v>
      </c>
      <c r="I262" s="26" t="s">
        <v>859</v>
      </c>
      <c r="J262" s="23" t="s">
        <v>1083</v>
      </c>
      <c r="K262" s="23" t="s">
        <v>1084</v>
      </c>
      <c r="L262" s="23" t="s">
        <v>1020</v>
      </c>
      <c r="M262" s="25" t="s">
        <v>31</v>
      </c>
      <c r="N262" s="23" t="s">
        <v>32</v>
      </c>
      <c r="O262" s="23" t="s">
        <v>863</v>
      </c>
      <c r="P262" s="23" t="s">
        <v>34</v>
      </c>
      <c r="Q262" s="27" t="str">
        <f>HYPERLINK("http://ovopark.oss-cn-hangzhou.aliyuncs.com/62_1655464820290_6265_106910547256455_.jpg","查看图片")</f>
        <v>查看图片</v>
      </c>
      <c r="R262" s="23" t="s">
        <v>35</v>
      </c>
      <c r="S262" s="23" t="s">
        <v>1085</v>
      </c>
      <c r="T262" s="23" t="s">
        <v>37</v>
      </c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1"/>
      <c r="AI262" s="20"/>
      <c r="AJ262" s="20"/>
      <c r="AK262" s="20"/>
      <c r="AL262" s="20"/>
      <c r="AM262" s="20"/>
      <c r="AN262" s="20"/>
      <c r="AO262" s="20"/>
    </row>
    <row r="263" s="17" customFormat="1" ht="81" customHeight="1" spans="1:41">
      <c r="A263" s="20"/>
      <c r="B263" s="20" t="s">
        <v>1016</v>
      </c>
      <c r="C263" s="23" t="s">
        <v>138</v>
      </c>
      <c r="D263" s="23" t="s">
        <v>168</v>
      </c>
      <c r="E263" s="23" t="s">
        <v>23</v>
      </c>
      <c r="F263" s="23" t="s">
        <v>24</v>
      </c>
      <c r="G263" s="23" t="s">
        <v>1086</v>
      </c>
      <c r="H263" s="23" t="s">
        <v>858</v>
      </c>
      <c r="I263" s="26" t="s">
        <v>859</v>
      </c>
      <c r="J263" s="23" t="s">
        <v>1087</v>
      </c>
      <c r="K263" s="23" t="s">
        <v>1088</v>
      </c>
      <c r="L263" s="23" t="s">
        <v>1020</v>
      </c>
      <c r="M263" s="25" t="s">
        <v>31</v>
      </c>
      <c r="N263" s="23" t="s">
        <v>32</v>
      </c>
      <c r="O263" s="23" t="s">
        <v>863</v>
      </c>
      <c r="P263" s="23" t="s">
        <v>34</v>
      </c>
      <c r="Q263" s="27" t="str">
        <f>HYPERLINK("http://ovopark.oss-cn-hangzhou.aliyuncs.com/62_1655464876405_6265_106966654631278_.jpg","查看图片")</f>
        <v>查看图片</v>
      </c>
      <c r="R263" s="23" t="s">
        <v>35</v>
      </c>
      <c r="S263" s="23" t="s">
        <v>1089</v>
      </c>
      <c r="T263" s="23" t="s">
        <v>37</v>
      </c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1"/>
      <c r="AI263" s="20"/>
      <c r="AJ263" s="20"/>
      <c r="AK263" s="20"/>
      <c r="AL263" s="20"/>
      <c r="AM263" s="20"/>
      <c r="AN263" s="20"/>
      <c r="AO263" s="20"/>
    </row>
    <row r="264" s="17" customFormat="1" customHeight="1" spans="1:41">
      <c r="A264" s="20"/>
      <c r="B264" s="20" t="s">
        <v>1016</v>
      </c>
      <c r="C264" s="23" t="s">
        <v>138</v>
      </c>
      <c r="D264" s="23" t="s">
        <v>183</v>
      </c>
      <c r="E264" s="23" t="s">
        <v>23</v>
      </c>
      <c r="F264" s="23" t="s">
        <v>24</v>
      </c>
      <c r="G264" s="23" t="s">
        <v>1025</v>
      </c>
      <c r="H264" s="23" t="s">
        <v>858</v>
      </c>
      <c r="I264" s="26" t="s">
        <v>859</v>
      </c>
      <c r="J264" s="23" t="s">
        <v>1090</v>
      </c>
      <c r="K264" s="23" t="s">
        <v>1091</v>
      </c>
      <c r="L264" s="23" t="s">
        <v>1020</v>
      </c>
      <c r="M264" s="25" t="s">
        <v>31</v>
      </c>
      <c r="N264" s="23" t="s">
        <v>32</v>
      </c>
      <c r="O264" s="23" t="s">
        <v>863</v>
      </c>
      <c r="P264" s="23" t="s">
        <v>34</v>
      </c>
      <c r="Q264" s="23" t="s">
        <v>34</v>
      </c>
      <c r="R264" s="23" t="s">
        <v>35</v>
      </c>
      <c r="S264" s="23" t="s">
        <v>1092</v>
      </c>
      <c r="T264" s="23" t="s">
        <v>37</v>
      </c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1"/>
      <c r="AI264" s="20"/>
      <c r="AJ264" s="20"/>
      <c r="AK264" s="20"/>
      <c r="AL264" s="20"/>
      <c r="AM264" s="20"/>
      <c r="AN264" s="20"/>
      <c r="AO264" s="20"/>
    </row>
    <row r="265" s="17" customFormat="1" customHeight="1" spans="1:41">
      <c r="A265" s="20"/>
      <c r="B265" s="20" t="s">
        <v>1016</v>
      </c>
      <c r="C265" s="23" t="s">
        <v>138</v>
      </c>
      <c r="D265" s="23" t="s">
        <v>179</v>
      </c>
      <c r="E265" s="23" t="s">
        <v>23</v>
      </c>
      <c r="F265" s="23" t="s">
        <v>24</v>
      </c>
      <c r="G265" s="23" t="s">
        <v>1025</v>
      </c>
      <c r="H265" s="23" t="s">
        <v>858</v>
      </c>
      <c r="I265" s="26" t="s">
        <v>859</v>
      </c>
      <c r="J265" s="23" t="s">
        <v>1093</v>
      </c>
      <c r="K265" s="23" t="s">
        <v>1094</v>
      </c>
      <c r="L265" s="23" t="s">
        <v>1020</v>
      </c>
      <c r="M265" s="25" t="s">
        <v>31</v>
      </c>
      <c r="N265" s="23" t="s">
        <v>32</v>
      </c>
      <c r="O265" s="23" t="s">
        <v>863</v>
      </c>
      <c r="P265" s="23" t="s">
        <v>34</v>
      </c>
      <c r="Q265" s="27" t="str">
        <f>HYPERLINK("http://ovopark.oss-cn-hangzhou.aliyuncs.com/62_1655464915632_6265_107005887950377_.jpg","查看图片")</f>
        <v>查看图片</v>
      </c>
      <c r="R265" s="23" t="s">
        <v>35</v>
      </c>
      <c r="S265" s="23" t="s">
        <v>1095</v>
      </c>
      <c r="T265" s="23" t="s">
        <v>37</v>
      </c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1"/>
      <c r="AI265" s="20"/>
      <c r="AJ265" s="20"/>
      <c r="AK265" s="20"/>
      <c r="AL265" s="20"/>
      <c r="AM265" s="20"/>
      <c r="AN265" s="20"/>
      <c r="AO265" s="20"/>
    </row>
    <row r="266" s="17" customFormat="1" hidden="1" customHeight="1" spans="3:20">
      <c r="C266" s="23" t="s">
        <v>291</v>
      </c>
      <c r="D266" s="23" t="s">
        <v>292</v>
      </c>
      <c r="E266" s="23" t="s">
        <v>23</v>
      </c>
      <c r="F266" s="23" t="s">
        <v>24</v>
      </c>
      <c r="G266" s="23" t="s">
        <v>1096</v>
      </c>
      <c r="H266" s="23" t="s">
        <v>1097</v>
      </c>
      <c r="I266" s="26" t="s">
        <v>1000</v>
      </c>
      <c r="J266" s="23" t="s">
        <v>1098</v>
      </c>
      <c r="K266" s="23" t="s">
        <v>1099</v>
      </c>
      <c r="L266" s="23" t="s">
        <v>1100</v>
      </c>
      <c r="M266" s="23" t="s">
        <v>58</v>
      </c>
      <c r="N266" s="23" t="s">
        <v>32</v>
      </c>
      <c r="O266" s="23" t="s">
        <v>145</v>
      </c>
      <c r="P266" s="27" t="str">
        <f>HYPERLINK("https://ovopark.oss-cn-hangzhou.aliyuncs.com/b111f75dabe06607875d0d2c066d35f7.jpg?x-oss-process=image/resize,w_700,l_700","查看图片")</f>
        <v>查看图片</v>
      </c>
      <c r="Q266" s="23" t="s">
        <v>34</v>
      </c>
      <c r="R266" s="23" t="s">
        <v>35</v>
      </c>
      <c r="S266" s="23" t="s">
        <v>1101</v>
      </c>
      <c r="T266" s="23" t="s">
        <v>37</v>
      </c>
    </row>
    <row r="267" s="17" customFormat="1" hidden="1" customHeight="1" spans="3:20">
      <c r="C267" s="23" t="s">
        <v>291</v>
      </c>
      <c r="D267" s="23" t="s">
        <v>292</v>
      </c>
      <c r="E267" s="23" t="s">
        <v>23</v>
      </c>
      <c r="F267" s="23" t="s">
        <v>24</v>
      </c>
      <c r="G267" s="23" t="s">
        <v>1102</v>
      </c>
      <c r="H267" s="23" t="s">
        <v>1097</v>
      </c>
      <c r="I267" s="26" t="s">
        <v>1000</v>
      </c>
      <c r="J267" s="23" t="s">
        <v>1103</v>
      </c>
      <c r="K267" s="23" t="s">
        <v>1104</v>
      </c>
      <c r="L267" s="23" t="s">
        <v>1100</v>
      </c>
      <c r="M267" s="23" t="s">
        <v>58</v>
      </c>
      <c r="N267" s="23" t="s">
        <v>32</v>
      </c>
      <c r="O267" s="23" t="s">
        <v>145</v>
      </c>
      <c r="P267" s="27" t="str">
        <f>HYPERLINK("https://ovopark.oss-cn-hangzhou.aliyuncs.com/8193c9b9a1109298a9a11396dd6004b0.jpg?x-oss-process=image/resize,w_700,l_700","查看图片")</f>
        <v>查看图片</v>
      </c>
      <c r="Q267" s="23" t="s">
        <v>34</v>
      </c>
      <c r="R267" s="23" t="s">
        <v>35</v>
      </c>
      <c r="S267" s="23" t="s">
        <v>1105</v>
      </c>
      <c r="T267" s="23" t="s">
        <v>37</v>
      </c>
    </row>
    <row r="268" s="17" customFormat="1" hidden="1" customHeight="1" spans="3:20">
      <c r="C268" s="23" t="s">
        <v>21</v>
      </c>
      <c r="D268" s="23" t="s">
        <v>22</v>
      </c>
      <c r="E268" s="23" t="s">
        <v>23</v>
      </c>
      <c r="F268" s="23" t="s">
        <v>24</v>
      </c>
      <c r="G268" s="23" t="s">
        <v>1106</v>
      </c>
      <c r="H268" s="23" t="s">
        <v>1097</v>
      </c>
      <c r="I268" s="26" t="s">
        <v>1000</v>
      </c>
      <c r="J268" s="23" t="s">
        <v>1107</v>
      </c>
      <c r="K268" s="23" t="s">
        <v>1108</v>
      </c>
      <c r="L268" s="23" t="s">
        <v>144</v>
      </c>
      <c r="M268" s="23" t="s">
        <v>58</v>
      </c>
      <c r="N268" s="23" t="s">
        <v>32</v>
      </c>
      <c r="O268" s="23" t="s">
        <v>145</v>
      </c>
      <c r="P268" s="23" t="s">
        <v>34</v>
      </c>
      <c r="Q268" s="23" t="s">
        <v>34</v>
      </c>
      <c r="R268" s="23" t="s">
        <v>35</v>
      </c>
      <c r="S268" s="23" t="s">
        <v>1109</v>
      </c>
      <c r="T268" s="23" t="s">
        <v>37</v>
      </c>
    </row>
    <row r="269" s="17" customFormat="1" customHeight="1" spans="1:41">
      <c r="A269" s="20">
        <v>311</v>
      </c>
      <c r="B269" s="20" t="s">
        <v>1110</v>
      </c>
      <c r="C269" s="23" t="s">
        <v>138</v>
      </c>
      <c r="D269" s="23" t="s">
        <v>168</v>
      </c>
      <c r="E269" s="23" t="s">
        <v>23</v>
      </c>
      <c r="F269" s="23" t="s">
        <v>24</v>
      </c>
      <c r="G269" s="23" t="s">
        <v>1111</v>
      </c>
      <c r="H269" s="23" t="s">
        <v>858</v>
      </c>
      <c r="I269" s="26" t="s">
        <v>859</v>
      </c>
      <c r="J269" s="23" t="s">
        <v>1112</v>
      </c>
      <c r="K269" s="23" t="s">
        <v>1113</v>
      </c>
      <c r="L269" s="23" t="s">
        <v>1114</v>
      </c>
      <c r="M269" s="25" t="s">
        <v>31</v>
      </c>
      <c r="N269" s="23" t="s">
        <v>32</v>
      </c>
      <c r="O269" s="23" t="s">
        <v>863</v>
      </c>
      <c r="P269" s="23" t="s">
        <v>34</v>
      </c>
      <c r="Q269" s="27" t="str">
        <f>HYPERLINK("http://ovopark.oss-cn-hangzhou.aliyuncs.com/62_1655281595381_1977_723184965214658_.jpg","查看图片")</f>
        <v>查看图片</v>
      </c>
      <c r="R269" s="23" t="s">
        <v>35</v>
      </c>
      <c r="S269" s="23" t="s">
        <v>1115</v>
      </c>
      <c r="T269" s="23" t="s">
        <v>37</v>
      </c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1"/>
      <c r="AI269" s="20"/>
      <c r="AJ269" s="20"/>
      <c r="AK269" s="20"/>
      <c r="AL269" s="20"/>
      <c r="AM269" s="20"/>
      <c r="AN269" s="20"/>
      <c r="AO269" s="20"/>
    </row>
    <row r="270" s="17" customFormat="1" customHeight="1" spans="1:41">
      <c r="A270" s="20">
        <v>311</v>
      </c>
      <c r="B270" s="20" t="s">
        <v>1110</v>
      </c>
      <c r="C270" s="23" t="s">
        <v>138</v>
      </c>
      <c r="D270" s="23" t="s">
        <v>147</v>
      </c>
      <c r="E270" s="23" t="s">
        <v>23</v>
      </c>
      <c r="F270" s="23" t="s">
        <v>24</v>
      </c>
      <c r="G270" s="23" t="s">
        <v>1116</v>
      </c>
      <c r="H270" s="23" t="s">
        <v>858</v>
      </c>
      <c r="I270" s="26" t="s">
        <v>859</v>
      </c>
      <c r="J270" s="23" t="s">
        <v>1117</v>
      </c>
      <c r="K270" s="23" t="s">
        <v>1118</v>
      </c>
      <c r="L270" s="23" t="s">
        <v>1114</v>
      </c>
      <c r="M270" s="25" t="s">
        <v>31</v>
      </c>
      <c r="N270" s="23" t="s">
        <v>32</v>
      </c>
      <c r="O270" s="23" t="s">
        <v>863</v>
      </c>
      <c r="P270" s="23" t="s">
        <v>34</v>
      </c>
      <c r="Q270" s="27" t="str">
        <f>HYPERLINK("http://ovopark.oss-cn-hangzhou.aliyuncs.com/62_1655281613934_1977_723203564476198_.jpg","查看图片")</f>
        <v>查看图片</v>
      </c>
      <c r="R270" s="23" t="s">
        <v>35</v>
      </c>
      <c r="S270" s="23" t="s">
        <v>1119</v>
      </c>
      <c r="T270" s="23" t="s">
        <v>37</v>
      </c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1"/>
      <c r="AI270" s="20"/>
      <c r="AJ270" s="20"/>
      <c r="AK270" s="20"/>
      <c r="AL270" s="20"/>
      <c r="AM270" s="20"/>
      <c r="AN270" s="20"/>
      <c r="AO270" s="20"/>
    </row>
    <row r="271" s="17" customFormat="1" customHeight="1" spans="1:41">
      <c r="A271" s="20">
        <v>311</v>
      </c>
      <c r="B271" s="20" t="s">
        <v>1110</v>
      </c>
      <c r="C271" s="23" t="s">
        <v>138</v>
      </c>
      <c r="D271" s="23" t="s">
        <v>152</v>
      </c>
      <c r="E271" s="23" t="s">
        <v>23</v>
      </c>
      <c r="F271" s="23" t="s">
        <v>24</v>
      </c>
      <c r="G271" s="23" t="s">
        <v>1116</v>
      </c>
      <c r="H271" s="23" t="s">
        <v>858</v>
      </c>
      <c r="I271" s="26" t="s">
        <v>859</v>
      </c>
      <c r="J271" s="23" t="s">
        <v>1120</v>
      </c>
      <c r="K271" s="23" t="s">
        <v>1121</v>
      </c>
      <c r="L271" s="23" t="s">
        <v>1114</v>
      </c>
      <c r="M271" s="25" t="s">
        <v>31</v>
      </c>
      <c r="N271" s="23" t="s">
        <v>32</v>
      </c>
      <c r="O271" s="23" t="s">
        <v>863</v>
      </c>
      <c r="P271" s="23" t="s">
        <v>34</v>
      </c>
      <c r="Q271" s="27" t="str">
        <f>HYPERLINK("http://ovopark.oss-cn-hangzhou.aliyuncs.com/62_1655281636900_1977_723226528058069_.jpg","查看图片")</f>
        <v>查看图片</v>
      </c>
      <c r="R271" s="23" t="s">
        <v>35</v>
      </c>
      <c r="S271" s="23" t="s">
        <v>1122</v>
      </c>
      <c r="T271" s="23" t="s">
        <v>37</v>
      </c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1"/>
      <c r="AI271" s="20"/>
      <c r="AJ271" s="20"/>
      <c r="AK271" s="20"/>
      <c r="AL271" s="20"/>
      <c r="AM271" s="20"/>
      <c r="AN271" s="20"/>
      <c r="AO271" s="20"/>
    </row>
    <row r="272" s="17" customFormat="1" customHeight="1" spans="1:41">
      <c r="A272" s="20">
        <v>311</v>
      </c>
      <c r="B272" s="20" t="s">
        <v>1110</v>
      </c>
      <c r="C272" s="23" t="s">
        <v>138</v>
      </c>
      <c r="D272" s="23" t="s">
        <v>156</v>
      </c>
      <c r="E272" s="23" t="s">
        <v>23</v>
      </c>
      <c r="F272" s="23" t="s">
        <v>24</v>
      </c>
      <c r="G272" s="23" t="s">
        <v>1123</v>
      </c>
      <c r="H272" s="23" t="s">
        <v>858</v>
      </c>
      <c r="I272" s="26" t="s">
        <v>859</v>
      </c>
      <c r="J272" s="23" t="s">
        <v>1124</v>
      </c>
      <c r="K272" s="23" t="s">
        <v>1125</v>
      </c>
      <c r="L272" s="23" t="s">
        <v>1114</v>
      </c>
      <c r="M272" s="25" t="s">
        <v>31</v>
      </c>
      <c r="N272" s="23" t="s">
        <v>32</v>
      </c>
      <c r="O272" s="23" t="s">
        <v>863</v>
      </c>
      <c r="P272" s="23" t="s">
        <v>34</v>
      </c>
      <c r="Q272" s="27" t="str">
        <f>HYPERLINK("http://ovopark.oss-cn-hangzhou.aliyuncs.com/62_1655281675786_1977_723265370755167_.jpg","查看图片")</f>
        <v>查看图片</v>
      </c>
      <c r="R272" s="23" t="s">
        <v>35</v>
      </c>
      <c r="S272" s="23" t="s">
        <v>1126</v>
      </c>
      <c r="T272" s="23" t="s">
        <v>37</v>
      </c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1"/>
      <c r="AI272" s="20"/>
      <c r="AJ272" s="20"/>
      <c r="AK272" s="20"/>
      <c r="AL272" s="20"/>
      <c r="AM272" s="20"/>
      <c r="AN272" s="20"/>
      <c r="AO272" s="20"/>
    </row>
    <row r="273" s="17" customFormat="1" customHeight="1" spans="1:41">
      <c r="A273" s="20">
        <v>311</v>
      </c>
      <c r="B273" s="20" t="s">
        <v>1110</v>
      </c>
      <c r="C273" s="23" t="s">
        <v>138</v>
      </c>
      <c r="D273" s="23" t="s">
        <v>161</v>
      </c>
      <c r="E273" s="23" t="s">
        <v>23</v>
      </c>
      <c r="F273" s="23" t="s">
        <v>24</v>
      </c>
      <c r="G273" s="23" t="s">
        <v>1123</v>
      </c>
      <c r="H273" s="23" t="s">
        <v>858</v>
      </c>
      <c r="I273" s="26" t="s">
        <v>859</v>
      </c>
      <c r="J273" s="23" t="s">
        <v>1127</v>
      </c>
      <c r="K273" s="23" t="s">
        <v>1128</v>
      </c>
      <c r="L273" s="23" t="s">
        <v>1114</v>
      </c>
      <c r="M273" s="25" t="s">
        <v>31</v>
      </c>
      <c r="N273" s="23" t="s">
        <v>32</v>
      </c>
      <c r="O273" s="23" t="s">
        <v>863</v>
      </c>
      <c r="P273" s="23" t="s">
        <v>34</v>
      </c>
      <c r="Q273" s="27" t="str">
        <f>HYPERLINK("http://ovopark.oss-cn-hangzhou.aliyuncs.com/62_1655281710098_1977_723299735385309_.jpg","查看图片")</f>
        <v>查看图片</v>
      </c>
      <c r="R273" s="23" t="s">
        <v>35</v>
      </c>
      <c r="S273" s="23" t="s">
        <v>1129</v>
      </c>
      <c r="T273" s="23" t="s">
        <v>37</v>
      </c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1"/>
      <c r="AI273" s="20"/>
      <c r="AJ273" s="20"/>
      <c r="AK273" s="20"/>
      <c r="AL273" s="20"/>
      <c r="AM273" s="20"/>
      <c r="AN273" s="20"/>
      <c r="AO273" s="20"/>
    </row>
    <row r="274" s="17" customFormat="1" customHeight="1" spans="1:41">
      <c r="A274" s="20">
        <v>311</v>
      </c>
      <c r="B274" s="20" t="s">
        <v>1110</v>
      </c>
      <c r="C274" s="23" t="s">
        <v>138</v>
      </c>
      <c r="D274" s="23" t="s">
        <v>139</v>
      </c>
      <c r="E274" s="23" t="s">
        <v>23</v>
      </c>
      <c r="F274" s="23" t="s">
        <v>24</v>
      </c>
      <c r="G274" s="23" t="s">
        <v>1123</v>
      </c>
      <c r="H274" s="23" t="s">
        <v>858</v>
      </c>
      <c r="I274" s="26" t="s">
        <v>859</v>
      </c>
      <c r="J274" s="23" t="s">
        <v>1130</v>
      </c>
      <c r="K274" s="23" t="s">
        <v>1131</v>
      </c>
      <c r="L274" s="23" t="s">
        <v>1114</v>
      </c>
      <c r="M274" s="25" t="s">
        <v>31</v>
      </c>
      <c r="N274" s="23" t="s">
        <v>32</v>
      </c>
      <c r="O274" s="23" t="s">
        <v>863</v>
      </c>
      <c r="P274" s="23" t="s">
        <v>34</v>
      </c>
      <c r="Q274" s="27" t="str">
        <f>HYPERLINK("http://ovopark.oss-cn-hangzhou.aliyuncs.com/62_1655281970666_1977_723560282007619_.jpg","查看图片")</f>
        <v>查看图片</v>
      </c>
      <c r="R274" s="23" t="s">
        <v>35</v>
      </c>
      <c r="S274" s="23" t="s">
        <v>1132</v>
      </c>
      <c r="T274" s="23" t="s">
        <v>37</v>
      </c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1"/>
      <c r="AI274" s="20"/>
      <c r="AJ274" s="20"/>
      <c r="AK274" s="20"/>
      <c r="AL274" s="20"/>
      <c r="AM274" s="20"/>
      <c r="AN274" s="20"/>
      <c r="AO274" s="20"/>
    </row>
    <row r="275" s="17" customFormat="1" customHeight="1" spans="1:41">
      <c r="A275" s="20">
        <v>311</v>
      </c>
      <c r="B275" s="20" t="s">
        <v>1110</v>
      </c>
      <c r="C275" s="23" t="s">
        <v>21</v>
      </c>
      <c r="D275" s="23" t="s">
        <v>22</v>
      </c>
      <c r="E275" s="23" t="s">
        <v>23</v>
      </c>
      <c r="F275" s="23" t="s">
        <v>24</v>
      </c>
      <c r="G275" s="23" t="s">
        <v>1133</v>
      </c>
      <c r="H275" s="23" t="s">
        <v>858</v>
      </c>
      <c r="I275" s="26" t="s">
        <v>859</v>
      </c>
      <c r="J275" s="23" t="s">
        <v>1134</v>
      </c>
      <c r="K275" s="23" t="s">
        <v>1135</v>
      </c>
      <c r="L275" s="23" t="s">
        <v>1114</v>
      </c>
      <c r="M275" s="25" t="s">
        <v>31</v>
      </c>
      <c r="N275" s="23" t="s">
        <v>32</v>
      </c>
      <c r="O275" s="23" t="s">
        <v>863</v>
      </c>
      <c r="P275" s="23" t="s">
        <v>34</v>
      </c>
      <c r="Q275" s="27" t="str">
        <f>HYPERLINK("http://ovopark.oss-cn-hangzhou.aliyuncs.com/62_1655281540370_1977_723129986220535_.jpg","查看图片")</f>
        <v>查看图片</v>
      </c>
      <c r="R275" s="23" t="s">
        <v>35</v>
      </c>
      <c r="S275" s="23" t="s">
        <v>1136</v>
      </c>
      <c r="T275" s="23" t="s">
        <v>37</v>
      </c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1"/>
      <c r="AI275" s="20"/>
      <c r="AJ275" s="20"/>
      <c r="AK275" s="20"/>
      <c r="AL275" s="20"/>
      <c r="AM275" s="20"/>
      <c r="AN275" s="20"/>
      <c r="AO275" s="20"/>
    </row>
    <row r="276" s="17" customFormat="1" customHeight="1" spans="1:41">
      <c r="A276" s="20">
        <v>730</v>
      </c>
      <c r="B276" s="20" t="s">
        <v>1137</v>
      </c>
      <c r="C276" s="23" t="s">
        <v>21</v>
      </c>
      <c r="D276" s="23" t="s">
        <v>22</v>
      </c>
      <c r="E276" s="23" t="s">
        <v>23</v>
      </c>
      <c r="F276" s="23" t="s">
        <v>24</v>
      </c>
      <c r="G276" s="23" t="s">
        <v>1138</v>
      </c>
      <c r="H276" s="23" t="s">
        <v>858</v>
      </c>
      <c r="I276" s="26" t="s">
        <v>859</v>
      </c>
      <c r="J276" s="23" t="s">
        <v>1139</v>
      </c>
      <c r="K276" s="23" t="s">
        <v>1140</v>
      </c>
      <c r="L276" s="23" t="s">
        <v>1141</v>
      </c>
      <c r="M276" s="25" t="s">
        <v>31</v>
      </c>
      <c r="N276" s="23" t="s">
        <v>32</v>
      </c>
      <c r="O276" s="23" t="s">
        <v>863</v>
      </c>
      <c r="P276" s="23" t="s">
        <v>34</v>
      </c>
      <c r="Q276" s="27" t="str">
        <f>HYPERLINK("https://ovopark.oss-cn-hangzhou.aliyuncs.com/2022/06/15/0_62_20220615085832_7828.jpeg","查看图片")</f>
        <v>查看图片</v>
      </c>
      <c r="R276" s="23" t="s">
        <v>35</v>
      </c>
      <c r="S276" s="23" t="s">
        <v>1142</v>
      </c>
      <c r="T276" s="23" t="s">
        <v>37</v>
      </c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1"/>
      <c r="AI276" s="20"/>
      <c r="AJ276" s="20"/>
      <c r="AK276" s="20"/>
      <c r="AL276" s="20"/>
      <c r="AM276" s="20"/>
      <c r="AN276" s="20"/>
      <c r="AO276" s="20"/>
    </row>
    <row r="277" s="17" customFormat="1" customHeight="1" spans="1:41">
      <c r="A277" s="20">
        <v>730</v>
      </c>
      <c r="B277" s="20" t="s">
        <v>1137</v>
      </c>
      <c r="C277" s="23" t="s">
        <v>138</v>
      </c>
      <c r="D277" s="23" t="s">
        <v>168</v>
      </c>
      <c r="E277" s="23" t="s">
        <v>23</v>
      </c>
      <c r="F277" s="23" t="s">
        <v>24</v>
      </c>
      <c r="G277" s="23" t="s">
        <v>1143</v>
      </c>
      <c r="H277" s="23" t="s">
        <v>858</v>
      </c>
      <c r="I277" s="26" t="s">
        <v>859</v>
      </c>
      <c r="J277" s="23" t="s">
        <v>1144</v>
      </c>
      <c r="K277" s="23" t="s">
        <v>1145</v>
      </c>
      <c r="L277" s="23" t="s">
        <v>1141</v>
      </c>
      <c r="M277" s="25" t="s">
        <v>31</v>
      </c>
      <c r="N277" s="23" t="s">
        <v>32</v>
      </c>
      <c r="O277" s="23" t="s">
        <v>863</v>
      </c>
      <c r="P277" s="23" t="s">
        <v>34</v>
      </c>
      <c r="Q277" s="27" t="str">
        <f>HYPERLINK("https://ovopark.oss-cn-hangzhou.aliyuncs.com/2022/06/15/0_62_20220615085852_2339.jpeg","查看图片")</f>
        <v>查看图片</v>
      </c>
      <c r="R277" s="23" t="s">
        <v>35</v>
      </c>
      <c r="S277" s="23" t="s">
        <v>1146</v>
      </c>
      <c r="T277" s="23" t="s">
        <v>37</v>
      </c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1"/>
      <c r="AI277" s="20"/>
      <c r="AJ277" s="20"/>
      <c r="AK277" s="20"/>
      <c r="AL277" s="20"/>
      <c r="AM277" s="20"/>
      <c r="AN277" s="20"/>
      <c r="AO277" s="20"/>
    </row>
    <row r="278" s="17" customFormat="1" ht="78" customHeight="1" spans="1:41">
      <c r="A278" s="20">
        <v>730</v>
      </c>
      <c r="B278" s="20" t="s">
        <v>1137</v>
      </c>
      <c r="C278" s="23" t="s">
        <v>138</v>
      </c>
      <c r="D278" s="23" t="s">
        <v>147</v>
      </c>
      <c r="E278" s="23" t="s">
        <v>23</v>
      </c>
      <c r="F278" s="23" t="s">
        <v>24</v>
      </c>
      <c r="G278" s="23" t="s">
        <v>1147</v>
      </c>
      <c r="H278" s="23" t="s">
        <v>858</v>
      </c>
      <c r="I278" s="26" t="s">
        <v>859</v>
      </c>
      <c r="J278" s="23" t="s">
        <v>1148</v>
      </c>
      <c r="K278" s="23" t="s">
        <v>1149</v>
      </c>
      <c r="L278" s="23" t="s">
        <v>1141</v>
      </c>
      <c r="M278" s="25" t="s">
        <v>31</v>
      </c>
      <c r="N278" s="23" t="s">
        <v>32</v>
      </c>
      <c r="O278" s="23" t="s">
        <v>863</v>
      </c>
      <c r="P278" s="23" t="s">
        <v>34</v>
      </c>
      <c r="Q278" s="27" t="str">
        <f>HYPERLINK("https://ovopark.oss-cn-hangzhou.aliyuncs.com/2022/06/15/0_62_20220615085915_4823.jpeg","查看图片")</f>
        <v>查看图片</v>
      </c>
      <c r="R278" s="23" t="s">
        <v>35</v>
      </c>
      <c r="S278" s="23" t="s">
        <v>1150</v>
      </c>
      <c r="T278" s="23" t="s">
        <v>37</v>
      </c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1"/>
      <c r="AI278" s="20"/>
      <c r="AJ278" s="20"/>
      <c r="AK278" s="20"/>
      <c r="AL278" s="20"/>
      <c r="AM278" s="20"/>
      <c r="AN278" s="20"/>
      <c r="AO278" s="20"/>
    </row>
    <row r="279" s="17" customFormat="1" customHeight="1" spans="1:41">
      <c r="A279" s="20">
        <v>730</v>
      </c>
      <c r="B279" s="20" t="s">
        <v>1137</v>
      </c>
      <c r="C279" s="23" t="s">
        <v>138</v>
      </c>
      <c r="D279" s="23" t="s">
        <v>152</v>
      </c>
      <c r="E279" s="23" t="s">
        <v>23</v>
      </c>
      <c r="F279" s="23" t="s">
        <v>24</v>
      </c>
      <c r="G279" s="23" t="s">
        <v>1147</v>
      </c>
      <c r="H279" s="23" t="s">
        <v>858</v>
      </c>
      <c r="I279" s="26" t="s">
        <v>859</v>
      </c>
      <c r="J279" s="23" t="s">
        <v>1151</v>
      </c>
      <c r="K279" s="23" t="s">
        <v>1152</v>
      </c>
      <c r="L279" s="23" t="s">
        <v>1141</v>
      </c>
      <c r="M279" s="25" t="s">
        <v>31</v>
      </c>
      <c r="N279" s="23" t="s">
        <v>32</v>
      </c>
      <c r="O279" s="23" t="s">
        <v>863</v>
      </c>
      <c r="P279" s="23" t="s">
        <v>34</v>
      </c>
      <c r="Q279" s="27" t="str">
        <f>HYPERLINK("https://ovopark.oss-cn-hangzhou.aliyuncs.com/2022/06/15/0_62_20220615085931_397.jpeg","查看图片")</f>
        <v>查看图片</v>
      </c>
      <c r="R279" s="23" t="s">
        <v>35</v>
      </c>
      <c r="S279" s="23" t="s">
        <v>1153</v>
      </c>
      <c r="T279" s="23" t="s">
        <v>37</v>
      </c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1"/>
      <c r="AI279" s="20"/>
      <c r="AJ279" s="20"/>
      <c r="AK279" s="20"/>
      <c r="AL279" s="20"/>
      <c r="AM279" s="20"/>
      <c r="AN279" s="20"/>
      <c r="AO279" s="20"/>
    </row>
    <row r="280" s="17" customFormat="1" ht="81" customHeight="1" spans="1:41">
      <c r="A280" s="20">
        <v>730</v>
      </c>
      <c r="B280" s="20" t="s">
        <v>1137</v>
      </c>
      <c r="C280" s="23" t="s">
        <v>138</v>
      </c>
      <c r="D280" s="23" t="s">
        <v>156</v>
      </c>
      <c r="E280" s="23" t="s">
        <v>23</v>
      </c>
      <c r="F280" s="23" t="s">
        <v>24</v>
      </c>
      <c r="G280" s="23" t="s">
        <v>1154</v>
      </c>
      <c r="H280" s="23" t="s">
        <v>858</v>
      </c>
      <c r="I280" s="26" t="s">
        <v>859</v>
      </c>
      <c r="J280" s="23" t="s">
        <v>1155</v>
      </c>
      <c r="K280" s="23" t="s">
        <v>1156</v>
      </c>
      <c r="L280" s="23" t="s">
        <v>1141</v>
      </c>
      <c r="M280" s="25" t="s">
        <v>31</v>
      </c>
      <c r="N280" s="23" t="s">
        <v>32</v>
      </c>
      <c r="O280" s="23" t="s">
        <v>863</v>
      </c>
      <c r="P280" s="23" t="s">
        <v>34</v>
      </c>
      <c r="Q280" s="27" t="str">
        <f>HYPERLINK("https://ovopark.oss-cn-hangzhou.aliyuncs.com/2022/06/15/0_62_20220615090006_9649.jpeg","查看图片")</f>
        <v>查看图片</v>
      </c>
      <c r="R280" s="23" t="s">
        <v>35</v>
      </c>
      <c r="S280" s="23" t="s">
        <v>1157</v>
      </c>
      <c r="T280" s="23" t="s">
        <v>37</v>
      </c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1"/>
      <c r="AI280" s="20"/>
      <c r="AJ280" s="20"/>
      <c r="AK280" s="20"/>
      <c r="AL280" s="20"/>
      <c r="AM280" s="20"/>
      <c r="AN280" s="20"/>
      <c r="AO280" s="20"/>
    </row>
    <row r="281" s="17" customFormat="1" customHeight="1" spans="1:41">
      <c r="A281" s="20">
        <v>730</v>
      </c>
      <c r="B281" s="20" t="s">
        <v>1137</v>
      </c>
      <c r="C281" s="23" t="s">
        <v>138</v>
      </c>
      <c r="D281" s="23" t="s">
        <v>161</v>
      </c>
      <c r="E281" s="23" t="s">
        <v>23</v>
      </c>
      <c r="F281" s="23" t="s">
        <v>24</v>
      </c>
      <c r="G281" s="23" t="s">
        <v>1154</v>
      </c>
      <c r="H281" s="23" t="s">
        <v>858</v>
      </c>
      <c r="I281" s="26" t="s">
        <v>859</v>
      </c>
      <c r="J281" s="23" t="s">
        <v>1158</v>
      </c>
      <c r="K281" s="23" t="s">
        <v>1159</v>
      </c>
      <c r="L281" s="23" t="s">
        <v>1141</v>
      </c>
      <c r="M281" s="25" t="s">
        <v>31</v>
      </c>
      <c r="N281" s="23" t="s">
        <v>32</v>
      </c>
      <c r="O281" s="23" t="s">
        <v>863</v>
      </c>
      <c r="P281" s="23" t="s">
        <v>34</v>
      </c>
      <c r="Q281" s="27" t="str">
        <f>HYPERLINK("https://ovopark.oss-cn-hangzhou.aliyuncs.com/2022/06/15/0_62_20220615090021_9773.jpeg","查看图片")</f>
        <v>查看图片</v>
      </c>
      <c r="R281" s="23" t="s">
        <v>35</v>
      </c>
      <c r="S281" s="23" t="s">
        <v>1160</v>
      </c>
      <c r="T281" s="23" t="s">
        <v>37</v>
      </c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1"/>
      <c r="AI281" s="20"/>
      <c r="AJ281" s="20"/>
      <c r="AK281" s="20"/>
      <c r="AL281" s="20"/>
      <c r="AM281" s="20"/>
      <c r="AN281" s="20"/>
      <c r="AO281" s="20"/>
    </row>
    <row r="282" s="17" customFormat="1" customHeight="1" spans="1:41">
      <c r="A282" s="20">
        <v>730</v>
      </c>
      <c r="B282" s="20" t="s">
        <v>1137</v>
      </c>
      <c r="C282" s="23" t="s">
        <v>138</v>
      </c>
      <c r="D282" s="23" t="s">
        <v>139</v>
      </c>
      <c r="E282" s="23" t="s">
        <v>23</v>
      </c>
      <c r="F282" s="23" t="s">
        <v>24</v>
      </c>
      <c r="G282" s="23" t="s">
        <v>1154</v>
      </c>
      <c r="H282" s="23" t="s">
        <v>858</v>
      </c>
      <c r="I282" s="26" t="s">
        <v>859</v>
      </c>
      <c r="J282" s="23" t="s">
        <v>1161</v>
      </c>
      <c r="K282" s="23" t="s">
        <v>1162</v>
      </c>
      <c r="L282" s="23" t="s">
        <v>1141</v>
      </c>
      <c r="M282" s="25" t="s">
        <v>31</v>
      </c>
      <c r="N282" s="23" t="s">
        <v>32</v>
      </c>
      <c r="O282" s="23" t="s">
        <v>863</v>
      </c>
      <c r="P282" s="23" t="s">
        <v>34</v>
      </c>
      <c r="Q282" s="27" t="str">
        <f>HYPERLINK("https://ovopark.oss-cn-hangzhou.aliyuncs.com/2022/06/15/0_62_20220615090032_2117.jpeg","查看图片")</f>
        <v>查看图片</v>
      </c>
      <c r="R282" s="23" t="s">
        <v>35</v>
      </c>
      <c r="S282" s="23" t="s">
        <v>1163</v>
      </c>
      <c r="T282" s="23" t="s">
        <v>37</v>
      </c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1"/>
      <c r="AI282" s="20"/>
      <c r="AJ282" s="20"/>
      <c r="AK282" s="20"/>
      <c r="AL282" s="20"/>
      <c r="AM282" s="20"/>
      <c r="AN282" s="20"/>
      <c r="AO282" s="20"/>
    </row>
    <row r="283" s="17" customFormat="1" ht="81" customHeight="1" spans="1:41">
      <c r="A283" s="20">
        <v>709</v>
      </c>
      <c r="B283" s="20" t="s">
        <v>856</v>
      </c>
      <c r="C283" s="23" t="s">
        <v>138</v>
      </c>
      <c r="D283" s="23" t="s">
        <v>168</v>
      </c>
      <c r="E283" s="23" t="s">
        <v>23</v>
      </c>
      <c r="F283" s="23" t="s">
        <v>24</v>
      </c>
      <c r="G283" s="23" t="s">
        <v>1164</v>
      </c>
      <c r="H283" s="23" t="s">
        <v>858</v>
      </c>
      <c r="I283" s="26" t="s">
        <v>859</v>
      </c>
      <c r="J283" s="23" t="s">
        <v>1165</v>
      </c>
      <c r="K283" s="23" t="s">
        <v>1166</v>
      </c>
      <c r="L283" s="23" t="s">
        <v>862</v>
      </c>
      <c r="M283" s="25" t="s">
        <v>31</v>
      </c>
      <c r="N283" s="23" t="s">
        <v>32</v>
      </c>
      <c r="O283" s="23" t="s">
        <v>863</v>
      </c>
      <c r="P283" s="23" t="s">
        <v>34</v>
      </c>
      <c r="Q283" s="27" t="str">
        <f>HYPERLINK("https://ovopark.oss-cn-hangzhou.aliyuncs.com/2022/06/15/image_1655256369325.jpg","查看图片")</f>
        <v>查看图片</v>
      </c>
      <c r="R283" s="23" t="s">
        <v>35</v>
      </c>
      <c r="S283" s="23" t="s">
        <v>1167</v>
      </c>
      <c r="T283" s="23" t="s">
        <v>37</v>
      </c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1"/>
      <c r="AI283" s="20"/>
      <c r="AJ283" s="20"/>
      <c r="AK283" s="20"/>
      <c r="AL283" s="20"/>
      <c r="AM283" s="20"/>
      <c r="AN283" s="20"/>
      <c r="AO283" s="20"/>
    </row>
    <row r="284" s="17" customFormat="1" customHeight="1" spans="1:41">
      <c r="A284" s="20">
        <v>387</v>
      </c>
      <c r="B284" s="20" t="s">
        <v>1168</v>
      </c>
      <c r="C284" s="23" t="s">
        <v>138</v>
      </c>
      <c r="D284" s="23" t="s">
        <v>156</v>
      </c>
      <c r="E284" s="23" t="s">
        <v>23</v>
      </c>
      <c r="F284" s="23" t="s">
        <v>24</v>
      </c>
      <c r="G284" s="23" t="s">
        <v>1169</v>
      </c>
      <c r="H284" s="23" t="s">
        <v>858</v>
      </c>
      <c r="I284" s="26" t="s">
        <v>859</v>
      </c>
      <c r="J284" s="23" t="s">
        <v>1170</v>
      </c>
      <c r="K284" s="23" t="s">
        <v>1171</v>
      </c>
      <c r="L284" s="23" t="s">
        <v>1172</v>
      </c>
      <c r="M284" s="25" t="s">
        <v>31</v>
      </c>
      <c r="N284" s="23" t="s">
        <v>32</v>
      </c>
      <c r="O284" s="23" t="s">
        <v>1173</v>
      </c>
      <c r="P284" s="23" t="s">
        <v>34</v>
      </c>
      <c r="Q284" s="23" t="s">
        <v>34</v>
      </c>
      <c r="R284" s="23" t="s">
        <v>35</v>
      </c>
      <c r="S284" s="23" t="s">
        <v>1174</v>
      </c>
      <c r="T284" s="23" t="s">
        <v>37</v>
      </c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1"/>
      <c r="AI284" s="20"/>
      <c r="AJ284" s="20"/>
      <c r="AK284" s="20"/>
      <c r="AL284" s="20"/>
      <c r="AM284" s="20"/>
      <c r="AN284" s="20"/>
      <c r="AO284" s="20"/>
    </row>
    <row r="285" s="17" customFormat="1" customHeight="1" spans="1:41">
      <c r="A285" s="20">
        <v>387</v>
      </c>
      <c r="B285" s="20" t="s">
        <v>1168</v>
      </c>
      <c r="C285" s="23" t="s">
        <v>138</v>
      </c>
      <c r="D285" s="23" t="s">
        <v>161</v>
      </c>
      <c r="E285" s="23" t="s">
        <v>23</v>
      </c>
      <c r="F285" s="23" t="s">
        <v>24</v>
      </c>
      <c r="G285" s="23" t="s">
        <v>1169</v>
      </c>
      <c r="H285" s="23" t="s">
        <v>858</v>
      </c>
      <c r="I285" s="26" t="s">
        <v>859</v>
      </c>
      <c r="J285" s="23" t="s">
        <v>1175</v>
      </c>
      <c r="K285" s="23" t="s">
        <v>1176</v>
      </c>
      <c r="L285" s="23" t="s">
        <v>1172</v>
      </c>
      <c r="M285" s="25" t="s">
        <v>31</v>
      </c>
      <c r="N285" s="23" t="s">
        <v>32</v>
      </c>
      <c r="O285" s="23" t="s">
        <v>1173</v>
      </c>
      <c r="P285" s="23" t="s">
        <v>34</v>
      </c>
      <c r="Q285" s="23" t="s">
        <v>34</v>
      </c>
      <c r="R285" s="23" t="s">
        <v>35</v>
      </c>
      <c r="S285" s="23" t="s">
        <v>1177</v>
      </c>
      <c r="T285" s="23" t="s">
        <v>37</v>
      </c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1"/>
      <c r="AI285" s="20"/>
      <c r="AJ285" s="20"/>
      <c r="AK285" s="20"/>
      <c r="AL285" s="20"/>
      <c r="AM285" s="20"/>
      <c r="AN285" s="20"/>
      <c r="AO285" s="20"/>
    </row>
    <row r="286" s="17" customFormat="1" ht="87" customHeight="1" spans="1:41">
      <c r="A286" s="20">
        <v>387</v>
      </c>
      <c r="B286" s="20" t="s">
        <v>1168</v>
      </c>
      <c r="C286" s="23" t="s">
        <v>138</v>
      </c>
      <c r="D286" s="23" t="s">
        <v>139</v>
      </c>
      <c r="E286" s="23" t="s">
        <v>23</v>
      </c>
      <c r="F286" s="23" t="s">
        <v>24</v>
      </c>
      <c r="G286" s="23" t="s">
        <v>1169</v>
      </c>
      <c r="H286" s="23" t="s">
        <v>858</v>
      </c>
      <c r="I286" s="26" t="s">
        <v>859</v>
      </c>
      <c r="J286" s="23" t="s">
        <v>1178</v>
      </c>
      <c r="K286" s="23" t="s">
        <v>1179</v>
      </c>
      <c r="L286" s="23" t="s">
        <v>1172</v>
      </c>
      <c r="M286" s="25" t="s">
        <v>31</v>
      </c>
      <c r="N286" s="23" t="s">
        <v>32</v>
      </c>
      <c r="O286" s="23" t="s">
        <v>1173</v>
      </c>
      <c r="P286" s="23" t="s">
        <v>34</v>
      </c>
      <c r="Q286" s="23" t="s">
        <v>34</v>
      </c>
      <c r="R286" s="23" t="s">
        <v>35</v>
      </c>
      <c r="S286" s="23" t="s">
        <v>1180</v>
      </c>
      <c r="T286" s="23" t="s">
        <v>37</v>
      </c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1"/>
      <c r="AI286" s="20"/>
      <c r="AJ286" s="20"/>
      <c r="AK286" s="20"/>
      <c r="AL286" s="20"/>
      <c r="AM286" s="20"/>
      <c r="AN286" s="20"/>
      <c r="AO286" s="20"/>
    </row>
    <row r="287" s="17" customFormat="1" customHeight="1" spans="1:41">
      <c r="A287" s="20">
        <v>114685</v>
      </c>
      <c r="B287" s="20" t="s">
        <v>1181</v>
      </c>
      <c r="C287" s="23" t="s">
        <v>138</v>
      </c>
      <c r="D287" s="23" t="s">
        <v>1182</v>
      </c>
      <c r="E287" s="23" t="s">
        <v>23</v>
      </c>
      <c r="F287" s="23" t="s">
        <v>24</v>
      </c>
      <c r="G287" s="23" t="s">
        <v>1183</v>
      </c>
      <c r="H287" s="23" t="s">
        <v>1184</v>
      </c>
      <c r="I287" s="26" t="s">
        <v>1185</v>
      </c>
      <c r="J287" s="23" t="s">
        <v>1186</v>
      </c>
      <c r="K287" s="23" t="s">
        <v>1187</v>
      </c>
      <c r="L287" s="23" t="s">
        <v>1188</v>
      </c>
      <c r="M287" s="25" t="s">
        <v>31</v>
      </c>
      <c r="N287" s="23" t="s">
        <v>32</v>
      </c>
      <c r="O287" s="23" t="s">
        <v>726</v>
      </c>
      <c r="P287" s="23" t="s">
        <v>34</v>
      </c>
      <c r="Q287" s="23" t="s">
        <v>34</v>
      </c>
      <c r="R287" s="23" t="s">
        <v>35</v>
      </c>
      <c r="S287" s="23" t="s">
        <v>1189</v>
      </c>
      <c r="T287" s="23" t="s">
        <v>37</v>
      </c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1"/>
      <c r="AI287" s="20"/>
      <c r="AJ287" s="20"/>
      <c r="AK287" s="20"/>
      <c r="AL287" s="20"/>
      <c r="AM287" s="20"/>
      <c r="AN287" s="20"/>
      <c r="AO287" s="20"/>
    </row>
    <row r="288" s="17" customFormat="1" hidden="1" customHeight="1" spans="3:20">
      <c r="C288" s="23" t="s">
        <v>138</v>
      </c>
      <c r="D288" s="23" t="s">
        <v>183</v>
      </c>
      <c r="E288" s="23" t="s">
        <v>23</v>
      </c>
      <c r="F288" s="23" t="s">
        <v>24</v>
      </c>
      <c r="G288" s="23" t="s">
        <v>1190</v>
      </c>
      <c r="H288" s="23" t="s">
        <v>1191</v>
      </c>
      <c r="I288" s="26" t="s">
        <v>1192</v>
      </c>
      <c r="J288" s="23" t="s">
        <v>1193</v>
      </c>
      <c r="K288" s="23" t="s">
        <v>1194</v>
      </c>
      <c r="L288" s="23" t="s">
        <v>473</v>
      </c>
      <c r="M288" s="23" t="s">
        <v>58</v>
      </c>
      <c r="N288" s="23" t="s">
        <v>32</v>
      </c>
      <c r="O288" s="23" t="s">
        <v>145</v>
      </c>
      <c r="P288" s="23" t="s">
        <v>34</v>
      </c>
      <c r="Q288" s="27" t="str">
        <f>HYPERLINK("http://ovopark.oss-cn-hangzhou.aliyuncs.com/2223_64831333535940_image_1655125802874.jpg","查看图片")</f>
        <v>查看图片</v>
      </c>
      <c r="R288" s="23" t="s">
        <v>35</v>
      </c>
      <c r="S288" s="23" t="s">
        <v>1195</v>
      </c>
      <c r="T288" s="23" t="s">
        <v>37</v>
      </c>
    </row>
    <row r="289" s="17" customFormat="1" hidden="1" customHeight="1" spans="3:20">
      <c r="C289" s="23" t="s">
        <v>138</v>
      </c>
      <c r="D289" s="23" t="s">
        <v>179</v>
      </c>
      <c r="E289" s="23" t="s">
        <v>23</v>
      </c>
      <c r="F289" s="23" t="s">
        <v>24</v>
      </c>
      <c r="G289" s="23" t="s">
        <v>1190</v>
      </c>
      <c r="H289" s="23" t="s">
        <v>1191</v>
      </c>
      <c r="I289" s="26" t="s">
        <v>1192</v>
      </c>
      <c r="J289" s="23" t="s">
        <v>1196</v>
      </c>
      <c r="K289" s="23" t="s">
        <v>1197</v>
      </c>
      <c r="L289" s="23" t="s">
        <v>473</v>
      </c>
      <c r="M289" s="23" t="s">
        <v>58</v>
      </c>
      <c r="N289" s="23" t="s">
        <v>32</v>
      </c>
      <c r="O289" s="23" t="s">
        <v>145</v>
      </c>
      <c r="P289" s="23" t="s">
        <v>34</v>
      </c>
      <c r="Q289" s="27" t="str">
        <f>HYPERLINK("http://ovopark.oss-cn-hangzhou.aliyuncs.com/2223_64809504053651_image_1655125781023.jpg","查看图片")</f>
        <v>查看图片</v>
      </c>
      <c r="R289" s="23" t="s">
        <v>35</v>
      </c>
      <c r="S289" s="23" t="s">
        <v>1198</v>
      </c>
      <c r="T289" s="23" t="s">
        <v>37</v>
      </c>
    </row>
    <row r="290" s="17" customFormat="1" hidden="1" customHeight="1" spans="3:20">
      <c r="C290" s="23" t="s">
        <v>138</v>
      </c>
      <c r="D290" s="23" t="s">
        <v>174</v>
      </c>
      <c r="E290" s="23" t="s">
        <v>23</v>
      </c>
      <c r="F290" s="23" t="s">
        <v>24</v>
      </c>
      <c r="G290" s="23" t="s">
        <v>1190</v>
      </c>
      <c r="H290" s="23" t="s">
        <v>1191</v>
      </c>
      <c r="I290" s="26" t="s">
        <v>1192</v>
      </c>
      <c r="J290" s="23" t="s">
        <v>1199</v>
      </c>
      <c r="K290" s="23" t="s">
        <v>1200</v>
      </c>
      <c r="L290" s="23" t="s">
        <v>473</v>
      </c>
      <c r="M290" s="23" t="s">
        <v>58</v>
      </c>
      <c r="N290" s="23" t="s">
        <v>32</v>
      </c>
      <c r="O290" s="23" t="s">
        <v>145</v>
      </c>
      <c r="P290" s="23" t="s">
        <v>34</v>
      </c>
      <c r="Q290" s="27" t="str">
        <f>HYPERLINK("http://ovopark.oss-cn-hangzhou.aliyuncs.com/2223_64794008497404_image_1655125765481.jpg","查看图片")</f>
        <v>查看图片</v>
      </c>
      <c r="R290" s="23" t="s">
        <v>35</v>
      </c>
      <c r="S290" s="23" t="s">
        <v>1201</v>
      </c>
      <c r="T290" s="23" t="s">
        <v>37</v>
      </c>
    </row>
    <row r="291" s="17" customFormat="1" hidden="1" customHeight="1" spans="3:20">
      <c r="C291" s="23" t="s">
        <v>138</v>
      </c>
      <c r="D291" s="23" t="s">
        <v>257</v>
      </c>
      <c r="E291" s="23" t="s">
        <v>23</v>
      </c>
      <c r="F291" s="23" t="s">
        <v>24</v>
      </c>
      <c r="G291" s="23" t="s">
        <v>1202</v>
      </c>
      <c r="H291" s="23" t="s">
        <v>1191</v>
      </c>
      <c r="I291" s="26" t="s">
        <v>1192</v>
      </c>
      <c r="J291" s="23" t="s">
        <v>1203</v>
      </c>
      <c r="K291" s="23" t="s">
        <v>1204</v>
      </c>
      <c r="L291" s="23" t="s">
        <v>473</v>
      </c>
      <c r="M291" s="23" t="s">
        <v>58</v>
      </c>
      <c r="N291" s="23" t="s">
        <v>32</v>
      </c>
      <c r="O291" s="23" t="s">
        <v>145</v>
      </c>
      <c r="P291" s="23" t="s">
        <v>34</v>
      </c>
      <c r="Q291" s="27" t="str">
        <f>HYPERLINK("http://ovopark.oss-cn-hangzhou.aliyuncs.com/2223_64783225144280_image_1655125754654.jpg","查看图片")</f>
        <v>查看图片</v>
      </c>
      <c r="R291" s="23" t="s">
        <v>35</v>
      </c>
      <c r="S291" s="23" t="s">
        <v>1205</v>
      </c>
      <c r="T291" s="23" t="s">
        <v>37</v>
      </c>
    </row>
    <row r="292" s="17" customFormat="1" hidden="1" customHeight="1" spans="3:20">
      <c r="C292" s="23" t="s">
        <v>138</v>
      </c>
      <c r="D292" s="23" t="s">
        <v>139</v>
      </c>
      <c r="E292" s="23" t="s">
        <v>23</v>
      </c>
      <c r="F292" s="23" t="s">
        <v>24</v>
      </c>
      <c r="G292" s="23" t="s">
        <v>1206</v>
      </c>
      <c r="H292" s="23" t="s">
        <v>1191</v>
      </c>
      <c r="I292" s="26" t="s">
        <v>1192</v>
      </c>
      <c r="J292" s="23" t="s">
        <v>1207</v>
      </c>
      <c r="K292" s="23" t="s">
        <v>1208</v>
      </c>
      <c r="L292" s="23" t="s">
        <v>473</v>
      </c>
      <c r="M292" s="23" t="s">
        <v>58</v>
      </c>
      <c r="N292" s="23" t="s">
        <v>32</v>
      </c>
      <c r="O292" s="23" t="s">
        <v>145</v>
      </c>
      <c r="P292" s="23" t="s">
        <v>34</v>
      </c>
      <c r="Q292" s="27" t="str">
        <f>HYPERLINK("http://ovopark.oss-cn-hangzhou.aliyuncs.com/2223_64768857075533_image_1655125740220.jpg","查看图片")</f>
        <v>查看图片</v>
      </c>
      <c r="R292" s="23" t="s">
        <v>35</v>
      </c>
      <c r="S292" s="23" t="s">
        <v>1209</v>
      </c>
      <c r="T292" s="23" t="s">
        <v>37</v>
      </c>
    </row>
    <row r="293" s="17" customFormat="1" hidden="1" customHeight="1" spans="3:20">
      <c r="C293" s="23" t="s">
        <v>138</v>
      </c>
      <c r="D293" s="23" t="s">
        <v>161</v>
      </c>
      <c r="E293" s="23" t="s">
        <v>23</v>
      </c>
      <c r="F293" s="23" t="s">
        <v>24</v>
      </c>
      <c r="G293" s="23" t="s">
        <v>1206</v>
      </c>
      <c r="H293" s="23" t="s">
        <v>1191</v>
      </c>
      <c r="I293" s="26" t="s">
        <v>1192</v>
      </c>
      <c r="J293" s="23" t="s">
        <v>1210</v>
      </c>
      <c r="K293" s="23" t="s">
        <v>1211</v>
      </c>
      <c r="L293" s="23" t="s">
        <v>473</v>
      </c>
      <c r="M293" s="23" t="s">
        <v>58</v>
      </c>
      <c r="N293" s="23" t="s">
        <v>32</v>
      </c>
      <c r="O293" s="23" t="s">
        <v>145</v>
      </c>
      <c r="P293" s="23" t="s">
        <v>34</v>
      </c>
      <c r="Q293" s="27" t="str">
        <f>HYPERLINK("http://ovopark.oss-cn-hangzhou.aliyuncs.com/2223_64751477029181_image_1655125722748.jpg","查看图片")</f>
        <v>查看图片</v>
      </c>
      <c r="R293" s="23" t="s">
        <v>35</v>
      </c>
      <c r="S293" s="23" t="s">
        <v>1212</v>
      </c>
      <c r="T293" s="23" t="s">
        <v>37</v>
      </c>
    </row>
    <row r="294" s="17" customFormat="1" hidden="1" customHeight="1" spans="3:20">
      <c r="C294" s="23" t="s">
        <v>138</v>
      </c>
      <c r="D294" s="23" t="s">
        <v>152</v>
      </c>
      <c r="E294" s="23" t="s">
        <v>23</v>
      </c>
      <c r="F294" s="23" t="s">
        <v>24</v>
      </c>
      <c r="G294" s="23" t="s">
        <v>1213</v>
      </c>
      <c r="H294" s="23" t="s">
        <v>1191</v>
      </c>
      <c r="I294" s="26" t="s">
        <v>1192</v>
      </c>
      <c r="J294" s="23" t="s">
        <v>1214</v>
      </c>
      <c r="K294" s="23" t="s">
        <v>1215</v>
      </c>
      <c r="L294" s="23" t="s">
        <v>473</v>
      </c>
      <c r="M294" s="23" t="s">
        <v>58</v>
      </c>
      <c r="N294" s="23" t="s">
        <v>32</v>
      </c>
      <c r="O294" s="23" t="s">
        <v>145</v>
      </c>
      <c r="P294" s="23" t="s">
        <v>34</v>
      </c>
      <c r="Q294" s="27" t="str">
        <f>HYPERLINK("http://ovopark.oss-cn-hangzhou.aliyuncs.com/2223_64976470897376_image_1655125936698.jpg","查看图片")</f>
        <v>查看图片</v>
      </c>
      <c r="R294" s="23" t="s">
        <v>35</v>
      </c>
      <c r="S294" s="23" t="s">
        <v>1216</v>
      </c>
      <c r="T294" s="23" t="s">
        <v>37</v>
      </c>
    </row>
    <row r="295" s="17" customFormat="1" hidden="1" customHeight="1" spans="3:20">
      <c r="C295" s="23" t="s">
        <v>138</v>
      </c>
      <c r="D295" s="23" t="s">
        <v>147</v>
      </c>
      <c r="E295" s="23" t="s">
        <v>23</v>
      </c>
      <c r="F295" s="23" t="s">
        <v>24</v>
      </c>
      <c r="G295" s="23" t="s">
        <v>1213</v>
      </c>
      <c r="H295" s="23" t="s">
        <v>1191</v>
      </c>
      <c r="I295" s="26" t="s">
        <v>1192</v>
      </c>
      <c r="J295" s="23" t="s">
        <v>1217</v>
      </c>
      <c r="K295" s="23" t="s">
        <v>1218</v>
      </c>
      <c r="L295" s="23" t="s">
        <v>473</v>
      </c>
      <c r="M295" s="23" t="s">
        <v>58</v>
      </c>
      <c r="N295" s="23" t="s">
        <v>32</v>
      </c>
      <c r="O295" s="23" t="s">
        <v>145</v>
      </c>
      <c r="P295" s="23" t="s">
        <v>34</v>
      </c>
      <c r="Q295" s="27" t="str">
        <f>HYPERLINK("http://ovopark.oss-cn-hangzhou.aliyuncs.com/2223_64965315015086_image_1655125936698.jpg","查看图片")</f>
        <v>查看图片</v>
      </c>
      <c r="R295" s="23" t="s">
        <v>35</v>
      </c>
      <c r="S295" s="23" t="s">
        <v>1219</v>
      </c>
      <c r="T295" s="23" t="s">
        <v>37</v>
      </c>
    </row>
    <row r="296" s="17" customFormat="1" hidden="1" customHeight="1" spans="3:20">
      <c r="C296" s="23" t="s">
        <v>138</v>
      </c>
      <c r="D296" s="23" t="s">
        <v>139</v>
      </c>
      <c r="E296" s="23" t="s">
        <v>23</v>
      </c>
      <c r="F296" s="23" t="s">
        <v>24</v>
      </c>
      <c r="G296" s="23" t="s">
        <v>1220</v>
      </c>
      <c r="H296" s="23" t="s">
        <v>1191</v>
      </c>
      <c r="I296" s="26" t="s">
        <v>1192</v>
      </c>
      <c r="J296" s="23" t="s">
        <v>1221</v>
      </c>
      <c r="K296" s="23" t="s">
        <v>1222</v>
      </c>
      <c r="L296" s="23" t="s">
        <v>473</v>
      </c>
      <c r="M296" s="23" t="s">
        <v>58</v>
      </c>
      <c r="N296" s="23" t="s">
        <v>32</v>
      </c>
      <c r="O296" s="23" t="s">
        <v>145</v>
      </c>
      <c r="P296" s="23" t="s">
        <v>34</v>
      </c>
      <c r="Q296" s="27" t="str">
        <f>HYPERLINK("http://ovopark.oss-cn-hangzhou.aliyuncs.com/2223_64952563484880_image_1655125740220.jpg","查看图片")</f>
        <v>查看图片</v>
      </c>
      <c r="R296" s="23" t="s">
        <v>35</v>
      </c>
      <c r="S296" s="23" t="s">
        <v>1223</v>
      </c>
      <c r="T296" s="23" t="s">
        <v>37</v>
      </c>
    </row>
    <row r="297" s="17" customFormat="1" hidden="1" customHeight="1" spans="3:20">
      <c r="C297" s="23" t="s">
        <v>138</v>
      </c>
      <c r="D297" s="23" t="s">
        <v>168</v>
      </c>
      <c r="E297" s="23" t="s">
        <v>23</v>
      </c>
      <c r="F297" s="23" t="s">
        <v>24</v>
      </c>
      <c r="G297" s="23" t="s">
        <v>1224</v>
      </c>
      <c r="H297" s="23" t="s">
        <v>1191</v>
      </c>
      <c r="I297" s="26" t="s">
        <v>1192</v>
      </c>
      <c r="J297" s="23" t="s">
        <v>1225</v>
      </c>
      <c r="K297" s="23" t="s">
        <v>1226</v>
      </c>
      <c r="L297" s="23" t="s">
        <v>473</v>
      </c>
      <c r="M297" s="23" t="s">
        <v>58</v>
      </c>
      <c r="N297" s="23" t="s">
        <v>32</v>
      </c>
      <c r="O297" s="23" t="s">
        <v>145</v>
      </c>
      <c r="P297" s="23" t="s">
        <v>34</v>
      </c>
      <c r="Q297" s="27" t="str">
        <f>HYPERLINK("http://ovopark.oss-cn-hangzhou.aliyuncs.com/2223_64937413018215_image_1655125802874.jpg","查看图片")</f>
        <v>查看图片</v>
      </c>
      <c r="R297" s="23" t="s">
        <v>35</v>
      </c>
      <c r="S297" s="23" t="s">
        <v>1227</v>
      </c>
      <c r="T297" s="23" t="s">
        <v>37</v>
      </c>
    </row>
    <row r="298" s="17" customFormat="1" hidden="1" customHeight="1" spans="3:20">
      <c r="C298" s="23" t="s">
        <v>21</v>
      </c>
      <c r="D298" s="23" t="s">
        <v>22</v>
      </c>
      <c r="E298" s="23" t="s">
        <v>23</v>
      </c>
      <c r="F298" s="23" t="s">
        <v>24</v>
      </c>
      <c r="G298" s="23" t="s">
        <v>1228</v>
      </c>
      <c r="H298" s="23" t="s">
        <v>1191</v>
      </c>
      <c r="I298" s="26" t="s">
        <v>1192</v>
      </c>
      <c r="J298" s="23" t="s">
        <v>1229</v>
      </c>
      <c r="K298" s="23" t="s">
        <v>1230</v>
      </c>
      <c r="L298" s="23" t="s">
        <v>473</v>
      </c>
      <c r="M298" s="23" t="s">
        <v>58</v>
      </c>
      <c r="N298" s="23" t="s">
        <v>32</v>
      </c>
      <c r="O298" s="23" t="s">
        <v>145</v>
      </c>
      <c r="P298" s="23" t="s">
        <v>34</v>
      </c>
      <c r="Q298" s="27" t="str">
        <f>HYPERLINK("http://ovopark.oss-cn-hangzhou.aliyuncs.com/2223_64862249263539_image_1655125825047.jpg","查看图片")</f>
        <v>查看图片</v>
      </c>
      <c r="R298" s="23" t="s">
        <v>35</v>
      </c>
      <c r="S298" s="23" t="s">
        <v>1231</v>
      </c>
      <c r="T298" s="23" t="s">
        <v>37</v>
      </c>
    </row>
    <row r="299" s="17" customFormat="1" customHeight="1" spans="1:41">
      <c r="A299" s="20">
        <v>581</v>
      </c>
      <c r="B299" s="20" t="s">
        <v>1232</v>
      </c>
      <c r="C299" s="23" t="s">
        <v>21</v>
      </c>
      <c r="D299" s="23" t="s">
        <v>22</v>
      </c>
      <c r="E299" s="23" t="s">
        <v>23</v>
      </c>
      <c r="F299" s="23" t="s">
        <v>24</v>
      </c>
      <c r="G299" s="23" t="s">
        <v>1233</v>
      </c>
      <c r="H299" s="23" t="s">
        <v>858</v>
      </c>
      <c r="I299" s="26" t="s">
        <v>859</v>
      </c>
      <c r="J299" s="23" t="s">
        <v>1234</v>
      </c>
      <c r="K299" s="23" t="s">
        <v>1235</v>
      </c>
      <c r="L299" s="23" t="s">
        <v>1236</v>
      </c>
      <c r="M299" s="25" t="s">
        <v>31</v>
      </c>
      <c r="N299" s="23" t="s">
        <v>32</v>
      </c>
      <c r="O299" s="23" t="s">
        <v>863</v>
      </c>
      <c r="P299" s="23" t="s">
        <v>34</v>
      </c>
      <c r="Q299" s="27" t="str">
        <f>HYPERLINK("https://ovopark.oss-cn-hangzhou.aliyuncs.com/2022/06/13/0_62_20220613214329_5571.jpeg","查看图片")</f>
        <v>查看图片</v>
      </c>
      <c r="R299" s="23" t="s">
        <v>35</v>
      </c>
      <c r="S299" s="23" t="s">
        <v>1237</v>
      </c>
      <c r="T299" s="23" t="s">
        <v>37</v>
      </c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1"/>
      <c r="AI299" s="20"/>
      <c r="AJ299" s="20"/>
      <c r="AK299" s="20"/>
      <c r="AL299" s="20"/>
      <c r="AM299" s="20"/>
      <c r="AN299" s="20"/>
      <c r="AO299" s="20"/>
    </row>
    <row r="300" s="17" customFormat="1" customHeight="1" spans="1:41">
      <c r="A300" s="20">
        <v>119262</v>
      </c>
      <c r="B300" s="20" t="s">
        <v>1238</v>
      </c>
      <c r="C300" s="23" t="s">
        <v>21</v>
      </c>
      <c r="D300" s="23" t="s">
        <v>22</v>
      </c>
      <c r="E300" s="23" t="s">
        <v>23</v>
      </c>
      <c r="F300" s="23" t="s">
        <v>24</v>
      </c>
      <c r="G300" s="23" t="s">
        <v>1239</v>
      </c>
      <c r="H300" s="23" t="s">
        <v>858</v>
      </c>
      <c r="I300" s="26" t="s">
        <v>859</v>
      </c>
      <c r="J300" s="23" t="s">
        <v>1240</v>
      </c>
      <c r="K300" s="23" t="s">
        <v>1241</v>
      </c>
      <c r="L300" s="23" t="s">
        <v>1236</v>
      </c>
      <c r="M300" s="25" t="s">
        <v>31</v>
      </c>
      <c r="N300" s="23" t="s">
        <v>32</v>
      </c>
      <c r="O300" s="23" t="s">
        <v>863</v>
      </c>
      <c r="P300" s="23" t="s">
        <v>34</v>
      </c>
      <c r="Q300" s="23" t="s">
        <v>34</v>
      </c>
      <c r="R300" s="23" t="s">
        <v>35</v>
      </c>
      <c r="S300" s="23" t="s">
        <v>1242</v>
      </c>
      <c r="T300" s="23" t="s">
        <v>37</v>
      </c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1"/>
      <c r="AI300" s="20"/>
      <c r="AJ300" s="20"/>
      <c r="AK300" s="20"/>
      <c r="AL300" s="20"/>
      <c r="AM300" s="20"/>
      <c r="AN300" s="20"/>
      <c r="AO300" s="20"/>
    </row>
    <row r="301" s="17" customFormat="1" customHeight="1" spans="1:41">
      <c r="A301" s="20">
        <v>581</v>
      </c>
      <c r="B301" s="20" t="s">
        <v>1232</v>
      </c>
      <c r="C301" s="23" t="s">
        <v>138</v>
      </c>
      <c r="D301" s="23" t="s">
        <v>168</v>
      </c>
      <c r="E301" s="23" t="s">
        <v>23</v>
      </c>
      <c r="F301" s="23" t="s">
        <v>24</v>
      </c>
      <c r="G301" s="23" t="s">
        <v>1243</v>
      </c>
      <c r="H301" s="23" t="s">
        <v>858</v>
      </c>
      <c r="I301" s="26" t="s">
        <v>859</v>
      </c>
      <c r="J301" s="23" t="s">
        <v>1244</v>
      </c>
      <c r="K301" s="23" t="s">
        <v>1245</v>
      </c>
      <c r="L301" s="23" t="s">
        <v>1236</v>
      </c>
      <c r="M301" s="25" t="s">
        <v>31</v>
      </c>
      <c r="N301" s="23" t="s">
        <v>32</v>
      </c>
      <c r="O301" s="23" t="s">
        <v>863</v>
      </c>
      <c r="P301" s="23" t="s">
        <v>34</v>
      </c>
      <c r="Q301" s="27" t="str">
        <f>HYPERLINK("https://ovopark.oss-cn-hangzhou.aliyuncs.com/2022/06/13/0_62_20220613214435_5305.jpeg","查看图片")</f>
        <v>查看图片</v>
      </c>
      <c r="R301" s="23" t="s">
        <v>35</v>
      </c>
      <c r="S301" s="23" t="s">
        <v>1246</v>
      </c>
      <c r="T301" s="23" t="s">
        <v>37</v>
      </c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1"/>
      <c r="AI301" s="20"/>
      <c r="AJ301" s="20"/>
      <c r="AK301" s="20"/>
      <c r="AL301" s="20"/>
      <c r="AM301" s="20"/>
      <c r="AN301" s="20"/>
      <c r="AO301" s="20"/>
    </row>
    <row r="302" s="17" customFormat="1" customHeight="1" spans="1:41">
      <c r="A302" s="20">
        <v>119262</v>
      </c>
      <c r="B302" s="20" t="s">
        <v>1238</v>
      </c>
      <c r="C302" s="23" t="s">
        <v>138</v>
      </c>
      <c r="D302" s="23" t="s">
        <v>168</v>
      </c>
      <c r="E302" s="23" t="s">
        <v>23</v>
      </c>
      <c r="F302" s="23" t="s">
        <v>24</v>
      </c>
      <c r="G302" s="23" t="s">
        <v>1247</v>
      </c>
      <c r="H302" s="23" t="s">
        <v>858</v>
      </c>
      <c r="I302" s="26" t="s">
        <v>859</v>
      </c>
      <c r="J302" s="23" t="s">
        <v>1248</v>
      </c>
      <c r="K302" s="23" t="s">
        <v>1249</v>
      </c>
      <c r="L302" s="23" t="s">
        <v>1236</v>
      </c>
      <c r="M302" s="25" t="s">
        <v>31</v>
      </c>
      <c r="N302" s="23" t="s">
        <v>32</v>
      </c>
      <c r="O302" s="23" t="s">
        <v>863</v>
      </c>
      <c r="P302" s="23" t="s">
        <v>34</v>
      </c>
      <c r="Q302" s="23" t="s">
        <v>34</v>
      </c>
      <c r="R302" s="23" t="s">
        <v>35</v>
      </c>
      <c r="S302" s="23" t="s">
        <v>1250</v>
      </c>
      <c r="T302" s="23" t="s">
        <v>37</v>
      </c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1"/>
      <c r="AI302" s="20"/>
      <c r="AJ302" s="20"/>
      <c r="AK302" s="20"/>
      <c r="AL302" s="20"/>
      <c r="AM302" s="20"/>
      <c r="AN302" s="20"/>
      <c r="AO302" s="20"/>
    </row>
    <row r="303" s="17" customFormat="1" customHeight="1" spans="1:41">
      <c r="A303" s="20">
        <v>581</v>
      </c>
      <c r="B303" s="20" t="s">
        <v>1232</v>
      </c>
      <c r="C303" s="23" t="s">
        <v>138</v>
      </c>
      <c r="D303" s="23" t="s">
        <v>139</v>
      </c>
      <c r="E303" s="23" t="s">
        <v>23</v>
      </c>
      <c r="F303" s="23" t="s">
        <v>24</v>
      </c>
      <c r="G303" s="23" t="s">
        <v>1251</v>
      </c>
      <c r="H303" s="23" t="s">
        <v>858</v>
      </c>
      <c r="I303" s="26" t="s">
        <v>859</v>
      </c>
      <c r="J303" s="23" t="s">
        <v>1252</v>
      </c>
      <c r="K303" s="23" t="s">
        <v>1253</v>
      </c>
      <c r="L303" s="23" t="s">
        <v>1236</v>
      </c>
      <c r="M303" s="25" t="s">
        <v>31</v>
      </c>
      <c r="N303" s="23" t="s">
        <v>32</v>
      </c>
      <c r="O303" s="23" t="s">
        <v>863</v>
      </c>
      <c r="P303" s="23" t="s">
        <v>34</v>
      </c>
      <c r="Q303" s="27" t="str">
        <f>HYPERLINK("https://ovopark.oss-cn-hangzhou.aliyuncs.com/2022/06/13/0_62_20220613214500_696.jpeg","查看图片")</f>
        <v>查看图片</v>
      </c>
      <c r="R303" s="23" t="s">
        <v>35</v>
      </c>
      <c r="S303" s="23" t="s">
        <v>1254</v>
      </c>
      <c r="T303" s="23" t="s">
        <v>37</v>
      </c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1"/>
      <c r="AI303" s="20"/>
      <c r="AJ303" s="20"/>
      <c r="AK303" s="20"/>
      <c r="AL303" s="20"/>
      <c r="AM303" s="20"/>
      <c r="AN303" s="20"/>
      <c r="AO303" s="20"/>
    </row>
    <row r="304" s="17" customFormat="1" customHeight="1" spans="1:41">
      <c r="A304" s="20">
        <v>119262</v>
      </c>
      <c r="B304" s="20" t="s">
        <v>1238</v>
      </c>
      <c r="C304" s="23" t="s">
        <v>138</v>
      </c>
      <c r="D304" s="23" t="s">
        <v>156</v>
      </c>
      <c r="E304" s="23" t="s">
        <v>23</v>
      </c>
      <c r="F304" s="23" t="s">
        <v>24</v>
      </c>
      <c r="G304" s="23" t="s">
        <v>1255</v>
      </c>
      <c r="H304" s="23" t="s">
        <v>858</v>
      </c>
      <c r="I304" s="26" t="s">
        <v>859</v>
      </c>
      <c r="J304" s="23" t="s">
        <v>1256</v>
      </c>
      <c r="K304" s="23" t="s">
        <v>1257</v>
      </c>
      <c r="L304" s="23" t="s">
        <v>1236</v>
      </c>
      <c r="M304" s="25" t="s">
        <v>31</v>
      </c>
      <c r="N304" s="23" t="s">
        <v>32</v>
      </c>
      <c r="O304" s="23" t="s">
        <v>863</v>
      </c>
      <c r="P304" s="23" t="s">
        <v>34</v>
      </c>
      <c r="Q304" s="27" t="str">
        <f>HYPERLINK("https://ovopark.oss-cn-hangzhou.aliyuncs.com/2022/06/13/0_62_20220613214522_6396.jpeg","查看图片")</f>
        <v>查看图片</v>
      </c>
      <c r="R304" s="23" t="s">
        <v>35</v>
      </c>
      <c r="S304" s="23" t="s">
        <v>1258</v>
      </c>
      <c r="T304" s="23" t="s">
        <v>37</v>
      </c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1"/>
      <c r="AI304" s="20"/>
      <c r="AJ304" s="20"/>
      <c r="AK304" s="20"/>
      <c r="AL304" s="20"/>
      <c r="AM304" s="20"/>
      <c r="AN304" s="20"/>
      <c r="AO304" s="20"/>
    </row>
    <row r="305" s="17" customFormat="1" customHeight="1" spans="1:41">
      <c r="A305" s="20">
        <v>119262</v>
      </c>
      <c r="B305" s="20" t="s">
        <v>1238</v>
      </c>
      <c r="C305" s="23" t="s">
        <v>138</v>
      </c>
      <c r="D305" s="23" t="s">
        <v>161</v>
      </c>
      <c r="E305" s="23" t="s">
        <v>23</v>
      </c>
      <c r="F305" s="23" t="s">
        <v>24</v>
      </c>
      <c r="G305" s="23" t="s">
        <v>1255</v>
      </c>
      <c r="H305" s="23" t="s">
        <v>858</v>
      </c>
      <c r="I305" s="26" t="s">
        <v>859</v>
      </c>
      <c r="J305" s="23" t="s">
        <v>1259</v>
      </c>
      <c r="K305" s="23" t="s">
        <v>1260</v>
      </c>
      <c r="L305" s="23" t="s">
        <v>1236</v>
      </c>
      <c r="M305" s="25" t="s">
        <v>31</v>
      </c>
      <c r="N305" s="23" t="s">
        <v>32</v>
      </c>
      <c r="O305" s="23" t="s">
        <v>863</v>
      </c>
      <c r="P305" s="23" t="s">
        <v>34</v>
      </c>
      <c r="Q305" s="27" t="str">
        <f>HYPERLINK("https://ovopark.oss-cn-hangzhou.aliyuncs.com/2022/06/13/0_62_20220613214607_4098.jpeg","查看图片")</f>
        <v>查看图片</v>
      </c>
      <c r="R305" s="23" t="s">
        <v>35</v>
      </c>
      <c r="S305" s="23" t="s">
        <v>1261</v>
      </c>
      <c r="T305" s="23" t="s">
        <v>37</v>
      </c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1"/>
      <c r="AI305" s="20"/>
      <c r="AJ305" s="20"/>
      <c r="AK305" s="20"/>
      <c r="AL305" s="20"/>
      <c r="AM305" s="20"/>
      <c r="AN305" s="20"/>
      <c r="AO305" s="20"/>
    </row>
    <row r="306" s="17" customFormat="1" customHeight="1" spans="1:41">
      <c r="A306" s="20">
        <v>119262</v>
      </c>
      <c r="B306" s="20" t="s">
        <v>1238</v>
      </c>
      <c r="C306" s="23" t="s">
        <v>138</v>
      </c>
      <c r="D306" s="23" t="s">
        <v>139</v>
      </c>
      <c r="E306" s="23" t="s">
        <v>23</v>
      </c>
      <c r="F306" s="23" t="s">
        <v>24</v>
      </c>
      <c r="G306" s="23" t="s">
        <v>1255</v>
      </c>
      <c r="H306" s="23" t="s">
        <v>858</v>
      </c>
      <c r="I306" s="26" t="s">
        <v>859</v>
      </c>
      <c r="J306" s="23" t="s">
        <v>1262</v>
      </c>
      <c r="K306" s="23" t="s">
        <v>1263</v>
      </c>
      <c r="L306" s="23" t="s">
        <v>1236</v>
      </c>
      <c r="M306" s="25" t="s">
        <v>31</v>
      </c>
      <c r="N306" s="23" t="s">
        <v>32</v>
      </c>
      <c r="O306" s="23" t="s">
        <v>863</v>
      </c>
      <c r="P306" s="23" t="s">
        <v>34</v>
      </c>
      <c r="Q306" s="27" t="str">
        <f>HYPERLINK("https://ovopark.oss-cn-hangzhou.aliyuncs.com/2022/06/13/0_62_20220613214627_7904.jpeg","查看图片")</f>
        <v>查看图片</v>
      </c>
      <c r="R306" s="23" t="s">
        <v>35</v>
      </c>
      <c r="S306" s="23" t="s">
        <v>1264</v>
      </c>
      <c r="T306" s="23" t="s">
        <v>37</v>
      </c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1"/>
      <c r="AI306" s="20"/>
      <c r="AJ306" s="20"/>
      <c r="AK306" s="20"/>
      <c r="AL306" s="20"/>
      <c r="AM306" s="20"/>
      <c r="AN306" s="20"/>
      <c r="AO306" s="20"/>
    </row>
    <row r="307" s="17" customFormat="1" customHeight="1" spans="1:41">
      <c r="A307" s="20">
        <v>585</v>
      </c>
      <c r="B307" s="20" t="s">
        <v>1265</v>
      </c>
      <c r="C307" s="23" t="s">
        <v>291</v>
      </c>
      <c r="D307" s="23" t="s">
        <v>292</v>
      </c>
      <c r="E307" s="23" t="s">
        <v>23</v>
      </c>
      <c r="F307" s="23" t="s">
        <v>24</v>
      </c>
      <c r="G307" s="23" t="s">
        <v>1266</v>
      </c>
      <c r="H307" s="23" t="s">
        <v>858</v>
      </c>
      <c r="I307" s="26" t="s">
        <v>859</v>
      </c>
      <c r="J307" s="23" t="s">
        <v>1267</v>
      </c>
      <c r="K307" s="23" t="s">
        <v>1268</v>
      </c>
      <c r="L307" s="23" t="s">
        <v>1269</v>
      </c>
      <c r="M307" s="25" t="s">
        <v>31</v>
      </c>
      <c r="N307" s="23" t="s">
        <v>32</v>
      </c>
      <c r="O307" s="23" t="s">
        <v>863</v>
      </c>
      <c r="P307" s="27" t="str">
        <f>HYPERLINK("https://ovopark.oss-cn-hangzhou.aliyuncs.com/218da3175db46dc877ab80091550e870.jpg?x-oss-process=image/resize,w_700,l_700","查看图片")</f>
        <v>查看图片</v>
      </c>
      <c r="Q307" s="27" t="str">
        <f>HYPERLINK("http://ovopark.oss-cn-hangzhou.aliyuncs.com/62_1655099481920_2132_10332615403693_.jpg","查看图片")</f>
        <v>查看图片</v>
      </c>
      <c r="R307" s="23" t="s">
        <v>35</v>
      </c>
      <c r="S307" s="23" t="s">
        <v>1270</v>
      </c>
      <c r="T307" s="23" t="s">
        <v>37</v>
      </c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1"/>
      <c r="AI307" s="20"/>
      <c r="AJ307" s="20"/>
      <c r="AK307" s="20"/>
      <c r="AL307" s="20"/>
      <c r="AM307" s="20"/>
      <c r="AN307" s="20"/>
      <c r="AO307" s="20"/>
    </row>
    <row r="308" s="17" customFormat="1" customHeight="1" spans="1:41">
      <c r="A308" s="20">
        <v>585</v>
      </c>
      <c r="B308" s="20" t="s">
        <v>1265</v>
      </c>
      <c r="C308" s="23" t="s">
        <v>138</v>
      </c>
      <c r="D308" s="23" t="s">
        <v>147</v>
      </c>
      <c r="E308" s="23" t="s">
        <v>23</v>
      </c>
      <c r="F308" s="23" t="s">
        <v>24</v>
      </c>
      <c r="G308" s="23" t="s">
        <v>1271</v>
      </c>
      <c r="H308" s="23" t="s">
        <v>858</v>
      </c>
      <c r="I308" s="26" t="s">
        <v>859</v>
      </c>
      <c r="J308" s="23" t="s">
        <v>1272</v>
      </c>
      <c r="K308" s="23" t="s">
        <v>1273</v>
      </c>
      <c r="L308" s="23" t="s">
        <v>1269</v>
      </c>
      <c r="M308" s="25" t="s">
        <v>31</v>
      </c>
      <c r="N308" s="23" t="s">
        <v>32</v>
      </c>
      <c r="O308" s="23" t="s">
        <v>863</v>
      </c>
      <c r="P308" s="23" t="s">
        <v>34</v>
      </c>
      <c r="Q308" s="27" t="str">
        <f>HYPERLINK("http://ovopark.oss-cn-hangzhou.aliyuncs.com/62_1655099517921_2132_10368632591135_.jpg","查看图片")</f>
        <v>查看图片</v>
      </c>
      <c r="R308" s="23" t="s">
        <v>35</v>
      </c>
      <c r="S308" s="23" t="s">
        <v>1274</v>
      </c>
      <c r="T308" s="23" t="s">
        <v>37</v>
      </c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1"/>
      <c r="AI308" s="20"/>
      <c r="AJ308" s="20"/>
      <c r="AK308" s="20"/>
      <c r="AL308" s="20"/>
      <c r="AM308" s="20"/>
      <c r="AN308" s="20"/>
      <c r="AO308" s="20"/>
    </row>
    <row r="309" s="17" customFormat="1" customHeight="1" spans="1:41">
      <c r="A309" s="20">
        <v>585</v>
      </c>
      <c r="B309" s="20" t="s">
        <v>1265</v>
      </c>
      <c r="C309" s="23" t="s">
        <v>138</v>
      </c>
      <c r="D309" s="23" t="s">
        <v>152</v>
      </c>
      <c r="E309" s="23" t="s">
        <v>23</v>
      </c>
      <c r="F309" s="23" t="s">
        <v>24</v>
      </c>
      <c r="G309" s="23" t="s">
        <v>1271</v>
      </c>
      <c r="H309" s="23" t="s">
        <v>858</v>
      </c>
      <c r="I309" s="26" t="s">
        <v>859</v>
      </c>
      <c r="J309" s="23" t="s">
        <v>1275</v>
      </c>
      <c r="K309" s="23" t="s">
        <v>1276</v>
      </c>
      <c r="L309" s="23" t="s">
        <v>1269</v>
      </c>
      <c r="M309" s="25" t="s">
        <v>31</v>
      </c>
      <c r="N309" s="23" t="s">
        <v>32</v>
      </c>
      <c r="O309" s="23" t="s">
        <v>863</v>
      </c>
      <c r="P309" s="23" t="s">
        <v>34</v>
      </c>
      <c r="Q309" s="23" t="s">
        <v>34</v>
      </c>
      <c r="R309" s="23" t="s">
        <v>35</v>
      </c>
      <c r="S309" s="23" t="s">
        <v>1277</v>
      </c>
      <c r="T309" s="23" t="s">
        <v>37</v>
      </c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1"/>
      <c r="AI309" s="20"/>
      <c r="AJ309" s="20"/>
      <c r="AK309" s="20"/>
      <c r="AL309" s="20"/>
      <c r="AM309" s="20"/>
      <c r="AN309" s="20"/>
      <c r="AO309" s="20"/>
    </row>
    <row r="310" s="17" customFormat="1" customHeight="1" spans="1:41">
      <c r="A310" s="20">
        <v>585</v>
      </c>
      <c r="B310" s="20" t="s">
        <v>1265</v>
      </c>
      <c r="C310" s="23" t="s">
        <v>291</v>
      </c>
      <c r="D310" s="23" t="s">
        <v>292</v>
      </c>
      <c r="E310" s="23" t="s">
        <v>23</v>
      </c>
      <c r="F310" s="23" t="s">
        <v>24</v>
      </c>
      <c r="G310" s="23" t="s">
        <v>1278</v>
      </c>
      <c r="H310" s="23" t="s">
        <v>858</v>
      </c>
      <c r="I310" s="26" t="s">
        <v>859</v>
      </c>
      <c r="J310" s="23" t="s">
        <v>1279</v>
      </c>
      <c r="K310" s="23" t="s">
        <v>1280</v>
      </c>
      <c r="L310" s="23" t="s">
        <v>1269</v>
      </c>
      <c r="M310" s="25" t="s">
        <v>31</v>
      </c>
      <c r="N310" s="23" t="s">
        <v>32</v>
      </c>
      <c r="O310" s="23" t="s">
        <v>863</v>
      </c>
      <c r="P310" s="27" t="str">
        <f>HYPERLINK("https://ovopark.oss-cn-hangzhou.aliyuncs.com/1364faadf16660515c8c3e92befc722d.jpg?x-oss-process=image/resize,w_700,l_700","查看图片")</f>
        <v>查看图片</v>
      </c>
      <c r="Q310" s="23" t="s">
        <v>34</v>
      </c>
      <c r="R310" s="23" t="s">
        <v>35</v>
      </c>
      <c r="S310" s="23" t="s">
        <v>1281</v>
      </c>
      <c r="T310" s="23" t="s">
        <v>37</v>
      </c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1"/>
      <c r="AI310" s="20"/>
      <c r="AJ310" s="20"/>
      <c r="AK310" s="20"/>
      <c r="AL310" s="20"/>
      <c r="AM310" s="20"/>
      <c r="AN310" s="20"/>
      <c r="AO310" s="20"/>
    </row>
    <row r="311" s="17" customFormat="1" customHeight="1" spans="1:41">
      <c r="A311" s="20">
        <v>585</v>
      </c>
      <c r="B311" s="20" t="s">
        <v>1265</v>
      </c>
      <c r="C311" s="23" t="s">
        <v>138</v>
      </c>
      <c r="D311" s="23" t="s">
        <v>156</v>
      </c>
      <c r="E311" s="23" t="s">
        <v>23</v>
      </c>
      <c r="F311" s="23" t="s">
        <v>24</v>
      </c>
      <c r="G311" s="23" t="s">
        <v>1282</v>
      </c>
      <c r="H311" s="23" t="s">
        <v>858</v>
      </c>
      <c r="I311" s="26" t="s">
        <v>859</v>
      </c>
      <c r="J311" s="23" t="s">
        <v>1283</v>
      </c>
      <c r="K311" s="23" t="s">
        <v>1284</v>
      </c>
      <c r="L311" s="23" t="s">
        <v>1269</v>
      </c>
      <c r="M311" s="25" t="s">
        <v>31</v>
      </c>
      <c r="N311" s="23" t="s">
        <v>32</v>
      </c>
      <c r="O311" s="23" t="s">
        <v>863</v>
      </c>
      <c r="P311" s="23" t="s">
        <v>34</v>
      </c>
      <c r="Q311" s="27" t="str">
        <f>HYPERLINK("http://ovopark.oss-cn-hangzhou.aliyuncs.com/62_1655099614417_2132_10464396361768_.jpg","查看图片")</f>
        <v>查看图片</v>
      </c>
      <c r="R311" s="23" t="s">
        <v>35</v>
      </c>
      <c r="S311" s="23" t="s">
        <v>1285</v>
      </c>
      <c r="T311" s="23" t="s">
        <v>37</v>
      </c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1"/>
      <c r="AI311" s="20"/>
      <c r="AJ311" s="20"/>
      <c r="AK311" s="20"/>
      <c r="AL311" s="20"/>
      <c r="AM311" s="20"/>
      <c r="AN311" s="20"/>
      <c r="AO311" s="20"/>
    </row>
    <row r="312" s="17" customFormat="1" customHeight="1" spans="1:41">
      <c r="A312" s="20">
        <v>585</v>
      </c>
      <c r="B312" s="20" t="s">
        <v>1265</v>
      </c>
      <c r="C312" s="23" t="s">
        <v>138</v>
      </c>
      <c r="D312" s="23" t="s">
        <v>161</v>
      </c>
      <c r="E312" s="23" t="s">
        <v>23</v>
      </c>
      <c r="F312" s="23" t="s">
        <v>24</v>
      </c>
      <c r="G312" s="23" t="s">
        <v>1282</v>
      </c>
      <c r="H312" s="23" t="s">
        <v>858</v>
      </c>
      <c r="I312" s="26" t="s">
        <v>859</v>
      </c>
      <c r="J312" s="23" t="s">
        <v>1286</v>
      </c>
      <c r="K312" s="23" t="s">
        <v>1287</v>
      </c>
      <c r="L312" s="23" t="s">
        <v>1269</v>
      </c>
      <c r="M312" s="25" t="s">
        <v>31</v>
      </c>
      <c r="N312" s="23" t="s">
        <v>32</v>
      </c>
      <c r="O312" s="23" t="s">
        <v>863</v>
      </c>
      <c r="P312" s="23" t="s">
        <v>34</v>
      </c>
      <c r="Q312" s="27" t="str">
        <f>HYPERLINK("http://ovopark.oss-cn-hangzhou.aliyuncs.com/62_1655099673934_2132_10524108172821_.jpg","查看图片")</f>
        <v>查看图片</v>
      </c>
      <c r="R312" s="23" t="s">
        <v>35</v>
      </c>
      <c r="S312" s="23" t="s">
        <v>1288</v>
      </c>
      <c r="T312" s="23" t="s">
        <v>37</v>
      </c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1"/>
      <c r="AI312" s="20"/>
      <c r="AJ312" s="20"/>
      <c r="AK312" s="20"/>
      <c r="AL312" s="20"/>
      <c r="AM312" s="20"/>
      <c r="AN312" s="20"/>
      <c r="AO312" s="20"/>
    </row>
    <row r="313" s="17" customFormat="1" customHeight="1" spans="1:41">
      <c r="A313" s="20">
        <v>585</v>
      </c>
      <c r="B313" s="20" t="s">
        <v>1265</v>
      </c>
      <c r="C313" s="23" t="s">
        <v>138</v>
      </c>
      <c r="D313" s="23" t="s">
        <v>139</v>
      </c>
      <c r="E313" s="23" t="s">
        <v>23</v>
      </c>
      <c r="F313" s="23" t="s">
        <v>24</v>
      </c>
      <c r="G313" s="23" t="s">
        <v>1282</v>
      </c>
      <c r="H313" s="23" t="s">
        <v>858</v>
      </c>
      <c r="I313" s="26" t="s">
        <v>859</v>
      </c>
      <c r="J313" s="23" t="s">
        <v>1289</v>
      </c>
      <c r="K313" s="23" t="s">
        <v>1290</v>
      </c>
      <c r="L313" s="23" t="s">
        <v>1269</v>
      </c>
      <c r="M313" s="25" t="s">
        <v>31</v>
      </c>
      <c r="N313" s="23" t="s">
        <v>32</v>
      </c>
      <c r="O313" s="23" t="s">
        <v>863</v>
      </c>
      <c r="P313" s="23" t="s">
        <v>34</v>
      </c>
      <c r="Q313" s="27" t="str">
        <f>HYPERLINK("http://ovopark.oss-cn-hangzhou.aliyuncs.com/62_1655099705970_2132_10556298898788_.jpg","查看图片")</f>
        <v>查看图片</v>
      </c>
      <c r="R313" s="23" t="s">
        <v>35</v>
      </c>
      <c r="S313" s="23" t="s">
        <v>1291</v>
      </c>
      <c r="T313" s="23" t="s">
        <v>37</v>
      </c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1"/>
      <c r="AI313" s="20"/>
      <c r="AJ313" s="20"/>
      <c r="AK313" s="20"/>
      <c r="AL313" s="20"/>
      <c r="AM313" s="20"/>
      <c r="AN313" s="20"/>
      <c r="AO313" s="20"/>
    </row>
    <row r="314" s="17" customFormat="1" customHeight="1" spans="1:41">
      <c r="A314" s="20">
        <v>585</v>
      </c>
      <c r="B314" s="20" t="s">
        <v>1265</v>
      </c>
      <c r="C314" s="23" t="s">
        <v>291</v>
      </c>
      <c r="D314" s="23" t="s">
        <v>292</v>
      </c>
      <c r="E314" s="23" t="s">
        <v>23</v>
      </c>
      <c r="F314" s="23" t="s">
        <v>24</v>
      </c>
      <c r="G314" s="23" t="s">
        <v>1292</v>
      </c>
      <c r="H314" s="23" t="s">
        <v>858</v>
      </c>
      <c r="I314" s="26" t="s">
        <v>859</v>
      </c>
      <c r="J314" s="23" t="s">
        <v>1293</v>
      </c>
      <c r="K314" s="23" t="s">
        <v>1294</v>
      </c>
      <c r="L314" s="23" t="s">
        <v>1269</v>
      </c>
      <c r="M314" s="25" t="s">
        <v>31</v>
      </c>
      <c r="N314" s="23" t="s">
        <v>32</v>
      </c>
      <c r="O314" s="23" t="s">
        <v>863</v>
      </c>
      <c r="P314" s="27" t="str">
        <f>HYPERLINK("https://ovopark.oss-cn-hangzhou.aliyuncs.com/e77af2ebaee739ab99a80891e4047168.jpg?x-oss-process=image/resize,w_700,l_700","查看图片")</f>
        <v>查看图片</v>
      </c>
      <c r="Q314" s="23" t="s">
        <v>34</v>
      </c>
      <c r="R314" s="23" t="s">
        <v>35</v>
      </c>
      <c r="S314" s="23" t="s">
        <v>1295</v>
      </c>
      <c r="T314" s="23" t="s">
        <v>37</v>
      </c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1"/>
      <c r="AI314" s="20"/>
      <c r="AJ314" s="20"/>
      <c r="AK314" s="20"/>
      <c r="AL314" s="20"/>
      <c r="AM314" s="20"/>
      <c r="AN314" s="20"/>
      <c r="AO314" s="20"/>
    </row>
    <row r="315" s="17" customFormat="1" customHeight="1" spans="1:41">
      <c r="A315" s="20">
        <v>585</v>
      </c>
      <c r="B315" s="20" t="s">
        <v>1265</v>
      </c>
      <c r="C315" s="23" t="s">
        <v>21</v>
      </c>
      <c r="D315" s="23" t="s">
        <v>22</v>
      </c>
      <c r="E315" s="23" t="s">
        <v>23</v>
      </c>
      <c r="F315" s="23" t="s">
        <v>24</v>
      </c>
      <c r="G315" s="23" t="s">
        <v>1296</v>
      </c>
      <c r="H315" s="23" t="s">
        <v>858</v>
      </c>
      <c r="I315" s="26" t="s">
        <v>859</v>
      </c>
      <c r="J315" s="23" t="s">
        <v>1297</v>
      </c>
      <c r="K315" s="23" t="s">
        <v>1298</v>
      </c>
      <c r="L315" s="23" t="s">
        <v>1269</v>
      </c>
      <c r="M315" s="25" t="s">
        <v>31</v>
      </c>
      <c r="N315" s="23" t="s">
        <v>32</v>
      </c>
      <c r="O315" s="23" t="s">
        <v>863</v>
      </c>
      <c r="P315" s="23" t="s">
        <v>34</v>
      </c>
      <c r="Q315" s="27" t="str">
        <f>HYPERLINK("http://ovopark.oss-cn-hangzhou.aliyuncs.com/62_1655099795308_2132_10646029182831_.jpg","查看图片")</f>
        <v>查看图片</v>
      </c>
      <c r="R315" s="23" t="s">
        <v>35</v>
      </c>
      <c r="S315" s="23" t="s">
        <v>1299</v>
      </c>
      <c r="T315" s="23" t="s">
        <v>37</v>
      </c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1"/>
      <c r="AI315" s="20"/>
      <c r="AJ315" s="20"/>
      <c r="AK315" s="20"/>
      <c r="AL315" s="20"/>
      <c r="AM315" s="20"/>
      <c r="AN315" s="20"/>
      <c r="AO315" s="20"/>
    </row>
    <row r="316" s="17" customFormat="1" customHeight="1" spans="1:41">
      <c r="A316" s="20">
        <v>585</v>
      </c>
      <c r="B316" s="20" t="s">
        <v>1265</v>
      </c>
      <c r="C316" s="23" t="s">
        <v>138</v>
      </c>
      <c r="D316" s="23" t="s">
        <v>168</v>
      </c>
      <c r="E316" s="23" t="s">
        <v>23</v>
      </c>
      <c r="F316" s="23" t="s">
        <v>24</v>
      </c>
      <c r="G316" s="23" t="s">
        <v>1300</v>
      </c>
      <c r="H316" s="23" t="s">
        <v>858</v>
      </c>
      <c r="I316" s="26" t="s">
        <v>859</v>
      </c>
      <c r="J316" s="23" t="s">
        <v>1301</v>
      </c>
      <c r="K316" s="23" t="s">
        <v>1302</v>
      </c>
      <c r="L316" s="23" t="s">
        <v>1269</v>
      </c>
      <c r="M316" s="25" t="s">
        <v>31</v>
      </c>
      <c r="N316" s="23" t="s">
        <v>32</v>
      </c>
      <c r="O316" s="23" t="s">
        <v>863</v>
      </c>
      <c r="P316" s="23" t="s">
        <v>34</v>
      </c>
      <c r="Q316" s="27" t="str">
        <f>HYPERLINK("http://ovopark.oss-cn-hangzhou.aliyuncs.com/62_1655099823903_2132_10674631735889_.jpg","查看图片")</f>
        <v>查看图片</v>
      </c>
      <c r="R316" s="23" t="s">
        <v>35</v>
      </c>
      <c r="S316" s="23" t="s">
        <v>1303</v>
      </c>
      <c r="T316" s="23" t="s">
        <v>37</v>
      </c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1"/>
      <c r="AI316" s="20"/>
      <c r="AJ316" s="20"/>
      <c r="AK316" s="20"/>
      <c r="AL316" s="20"/>
      <c r="AM316" s="20"/>
      <c r="AN316" s="20"/>
      <c r="AO316" s="20"/>
    </row>
    <row r="317" s="17" customFormat="1" customHeight="1" spans="1:41">
      <c r="A317" s="20">
        <v>105910</v>
      </c>
      <c r="B317" s="20" t="s">
        <v>489</v>
      </c>
      <c r="C317" s="23" t="s">
        <v>683</v>
      </c>
      <c r="D317" s="23" t="s">
        <v>976</v>
      </c>
      <c r="E317" s="23" t="s">
        <v>23</v>
      </c>
      <c r="F317" s="23" t="s">
        <v>24</v>
      </c>
      <c r="G317" s="23" t="s">
        <v>1304</v>
      </c>
      <c r="H317" s="23" t="s">
        <v>858</v>
      </c>
      <c r="I317" s="26" t="s">
        <v>859</v>
      </c>
      <c r="J317" s="23" t="s">
        <v>1305</v>
      </c>
      <c r="K317" s="23" t="s">
        <v>1306</v>
      </c>
      <c r="L317" s="23" t="s">
        <v>493</v>
      </c>
      <c r="M317" s="25" t="s">
        <v>31</v>
      </c>
      <c r="N317" s="23" t="s">
        <v>32</v>
      </c>
      <c r="O317" s="23" t="s">
        <v>197</v>
      </c>
      <c r="P317" s="27" t="str">
        <f>HYPERLINK("https://ovopark.oss-cn-hangzhou.aliyuncs.com/2022/06/08/0_62_20220608173932_1610.png?x-oss-process=image/resize,w_700,l_700","查看图片")</f>
        <v>查看图片</v>
      </c>
      <c r="Q317" s="27" t="str">
        <f>HYPERLINK("http://ovopark.oss-cn-hangzhou.aliyuncs.com/5716_2774603860828_image_1655092274886.jpg","查看图片")</f>
        <v>查看图片</v>
      </c>
      <c r="R317" s="23" t="s">
        <v>60</v>
      </c>
      <c r="S317" s="23" t="s">
        <v>1307</v>
      </c>
      <c r="T317" s="23" t="s">
        <v>37</v>
      </c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1"/>
      <c r="AI317" s="20"/>
      <c r="AJ317" s="20"/>
      <c r="AK317" s="20"/>
      <c r="AL317" s="20"/>
      <c r="AM317" s="20"/>
      <c r="AN317" s="20"/>
      <c r="AO317" s="20"/>
    </row>
    <row r="318" s="17" customFormat="1" customHeight="1" spans="1:41">
      <c r="A318" s="20">
        <v>105910</v>
      </c>
      <c r="B318" s="20" t="s">
        <v>489</v>
      </c>
      <c r="C318" s="23" t="s">
        <v>692</v>
      </c>
      <c r="D318" s="23" t="s">
        <v>971</v>
      </c>
      <c r="E318" s="23" t="s">
        <v>23</v>
      </c>
      <c r="F318" s="23" t="s">
        <v>24</v>
      </c>
      <c r="G318" s="23" t="s">
        <v>1304</v>
      </c>
      <c r="H318" s="23" t="s">
        <v>858</v>
      </c>
      <c r="I318" s="26" t="s">
        <v>859</v>
      </c>
      <c r="J318" s="23" t="s">
        <v>1308</v>
      </c>
      <c r="K318" s="23" t="s">
        <v>1309</v>
      </c>
      <c r="L318" s="23" t="s">
        <v>493</v>
      </c>
      <c r="M318" s="25" t="s">
        <v>31</v>
      </c>
      <c r="N318" s="23" t="s">
        <v>32</v>
      </c>
      <c r="O318" s="23" t="s">
        <v>197</v>
      </c>
      <c r="P318" s="23" t="s">
        <v>34</v>
      </c>
      <c r="Q318" s="27" t="str">
        <f>HYPERLINK("http://ovopark.oss-cn-hangzhou.aliyuncs.com/5716_2875304095443_image_1655092449692.jpg","查看图片")</f>
        <v>查看图片</v>
      </c>
      <c r="R318" s="23" t="s">
        <v>60</v>
      </c>
      <c r="S318" s="23" t="s">
        <v>1310</v>
      </c>
      <c r="T318" s="23" t="s">
        <v>37</v>
      </c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1"/>
      <c r="AI318" s="20"/>
      <c r="AJ318" s="20"/>
      <c r="AK318" s="20"/>
      <c r="AL318" s="20"/>
      <c r="AM318" s="20"/>
      <c r="AN318" s="20"/>
      <c r="AO318" s="20"/>
    </row>
    <row r="319" s="17" customFormat="1" hidden="1" customHeight="1" spans="3:20">
      <c r="C319" s="23" t="s">
        <v>138</v>
      </c>
      <c r="D319" s="23" t="s">
        <v>139</v>
      </c>
      <c r="E319" s="23" t="s">
        <v>23</v>
      </c>
      <c r="F319" s="23" t="s">
        <v>24</v>
      </c>
      <c r="G319" s="23" t="s">
        <v>1311</v>
      </c>
      <c r="H319" s="23" t="s">
        <v>858</v>
      </c>
      <c r="I319" s="26" t="s">
        <v>859</v>
      </c>
      <c r="J319" s="23" t="s">
        <v>1312</v>
      </c>
      <c r="K319" s="23" t="s">
        <v>1313</v>
      </c>
      <c r="L319" s="23" t="s">
        <v>1003</v>
      </c>
      <c r="M319" s="23" t="s">
        <v>58</v>
      </c>
      <c r="N319" s="23" t="s">
        <v>32</v>
      </c>
      <c r="O319" s="23" t="s">
        <v>863</v>
      </c>
      <c r="P319" s="23" t="s">
        <v>34</v>
      </c>
      <c r="Q319" s="27" t="str">
        <f>HYPERLINK("https://ovopark.oss-cn-hangzhou.aliyuncs.com/2022/06/10/0_62_20220610154101_6544.jpeg","查看图片")</f>
        <v>查看图片</v>
      </c>
      <c r="R319" s="23" t="s">
        <v>35</v>
      </c>
      <c r="S319" s="23" t="s">
        <v>1314</v>
      </c>
      <c r="T319" s="23" t="s">
        <v>37</v>
      </c>
    </row>
    <row r="320" s="17" customFormat="1" hidden="1" customHeight="1" spans="3:20">
      <c r="C320" s="23" t="s">
        <v>138</v>
      </c>
      <c r="D320" s="23" t="s">
        <v>161</v>
      </c>
      <c r="E320" s="23" t="s">
        <v>23</v>
      </c>
      <c r="F320" s="23" t="s">
        <v>24</v>
      </c>
      <c r="G320" s="23" t="s">
        <v>1311</v>
      </c>
      <c r="H320" s="23" t="s">
        <v>858</v>
      </c>
      <c r="I320" s="26" t="s">
        <v>859</v>
      </c>
      <c r="J320" s="23" t="s">
        <v>1315</v>
      </c>
      <c r="K320" s="23" t="s">
        <v>1316</v>
      </c>
      <c r="L320" s="23" t="s">
        <v>1003</v>
      </c>
      <c r="M320" s="23" t="s">
        <v>58</v>
      </c>
      <c r="N320" s="23" t="s">
        <v>32</v>
      </c>
      <c r="O320" s="23" t="s">
        <v>863</v>
      </c>
      <c r="P320" s="23" t="s">
        <v>34</v>
      </c>
      <c r="Q320" s="27" t="str">
        <f>HYPERLINK("https://ovopark.oss-cn-hangzhou.aliyuncs.com/2022/06/10/0_62_20220610154033_3798.jpeg","查看图片")</f>
        <v>查看图片</v>
      </c>
      <c r="R320" s="23" t="s">
        <v>35</v>
      </c>
      <c r="S320" s="23" t="s">
        <v>1317</v>
      </c>
      <c r="T320" s="23" t="s">
        <v>37</v>
      </c>
    </row>
    <row r="321" s="17" customFormat="1" hidden="1" customHeight="1" spans="3:20">
      <c r="C321" s="23" t="s">
        <v>138</v>
      </c>
      <c r="D321" s="23" t="s">
        <v>156</v>
      </c>
      <c r="E321" s="23" t="s">
        <v>23</v>
      </c>
      <c r="F321" s="23" t="s">
        <v>24</v>
      </c>
      <c r="G321" s="23" t="s">
        <v>1311</v>
      </c>
      <c r="H321" s="23" t="s">
        <v>858</v>
      </c>
      <c r="I321" s="26" t="s">
        <v>859</v>
      </c>
      <c r="J321" s="23" t="s">
        <v>1318</v>
      </c>
      <c r="K321" s="23" t="s">
        <v>1319</v>
      </c>
      <c r="L321" s="23" t="s">
        <v>1003</v>
      </c>
      <c r="M321" s="23" t="s">
        <v>58</v>
      </c>
      <c r="N321" s="23" t="s">
        <v>32</v>
      </c>
      <c r="O321" s="23" t="s">
        <v>863</v>
      </c>
      <c r="P321" s="23" t="s">
        <v>34</v>
      </c>
      <c r="Q321" s="27" t="str">
        <f>HYPERLINK("https://ovopark.oss-cn-hangzhou.aliyuncs.com/2022/06/10/3_62_20220610153955_7803.jpeg","查看图片")</f>
        <v>查看图片</v>
      </c>
      <c r="R321" s="23" t="s">
        <v>35</v>
      </c>
      <c r="S321" s="23" t="s">
        <v>1320</v>
      </c>
      <c r="T321" s="23" t="s">
        <v>37</v>
      </c>
    </row>
    <row r="322" s="17" customFormat="1" hidden="1" customHeight="1" spans="3:20">
      <c r="C322" s="23" t="s">
        <v>138</v>
      </c>
      <c r="D322" s="23" t="s">
        <v>139</v>
      </c>
      <c r="E322" s="23" t="s">
        <v>23</v>
      </c>
      <c r="F322" s="23" t="s">
        <v>24</v>
      </c>
      <c r="G322" s="23" t="s">
        <v>1321</v>
      </c>
      <c r="H322" s="23" t="s">
        <v>858</v>
      </c>
      <c r="I322" s="26" t="s">
        <v>859</v>
      </c>
      <c r="J322" s="23" t="s">
        <v>1322</v>
      </c>
      <c r="K322" s="23" t="s">
        <v>1323</v>
      </c>
      <c r="L322" s="23" t="s">
        <v>1324</v>
      </c>
      <c r="M322" s="23" t="s">
        <v>58</v>
      </c>
      <c r="N322" s="23" t="s">
        <v>32</v>
      </c>
      <c r="O322" s="23" t="s">
        <v>863</v>
      </c>
      <c r="P322" s="23" t="s">
        <v>34</v>
      </c>
      <c r="Q322" s="27" t="str">
        <f>HYPERLINK("http://ovopark.oss-cn-hangzhou.aliyuncs.com/5497_241911433594260_image_1654824986660.jpg","查看图片")</f>
        <v>查看图片</v>
      </c>
      <c r="R322" s="23" t="s">
        <v>35</v>
      </c>
      <c r="S322" s="23" t="s">
        <v>1325</v>
      </c>
      <c r="T322" s="23" t="s">
        <v>37</v>
      </c>
    </row>
    <row r="323" s="17" customFormat="1" hidden="1" customHeight="1" spans="3:20">
      <c r="C323" s="23" t="s">
        <v>138</v>
      </c>
      <c r="D323" s="23" t="s">
        <v>161</v>
      </c>
      <c r="E323" s="23" t="s">
        <v>23</v>
      </c>
      <c r="F323" s="23" t="s">
        <v>24</v>
      </c>
      <c r="G323" s="23" t="s">
        <v>1321</v>
      </c>
      <c r="H323" s="23" t="s">
        <v>858</v>
      </c>
      <c r="I323" s="26" t="s">
        <v>859</v>
      </c>
      <c r="J323" s="23" t="s">
        <v>1326</v>
      </c>
      <c r="K323" s="23" t="s">
        <v>1327</v>
      </c>
      <c r="L323" s="23" t="s">
        <v>1324</v>
      </c>
      <c r="M323" s="23" t="s">
        <v>58</v>
      </c>
      <c r="N323" s="23" t="s">
        <v>32</v>
      </c>
      <c r="O323" s="23" t="s">
        <v>863</v>
      </c>
      <c r="P323" s="23" t="s">
        <v>34</v>
      </c>
      <c r="Q323" s="27" t="str">
        <f>HYPERLINK("http://ovopark.oss-cn-hangzhou.aliyuncs.com/5497_241892706690155_image_1654824968721.jpg","查看图片")</f>
        <v>查看图片</v>
      </c>
      <c r="R323" s="23" t="s">
        <v>35</v>
      </c>
      <c r="S323" s="23" t="s">
        <v>1328</v>
      </c>
      <c r="T323" s="23" t="s">
        <v>37</v>
      </c>
    </row>
    <row r="324" s="17" customFormat="1" hidden="1" customHeight="1" spans="3:20">
      <c r="C324" s="23" t="s">
        <v>138</v>
      </c>
      <c r="D324" s="23" t="s">
        <v>156</v>
      </c>
      <c r="E324" s="23" t="s">
        <v>23</v>
      </c>
      <c r="F324" s="23" t="s">
        <v>24</v>
      </c>
      <c r="G324" s="23" t="s">
        <v>1321</v>
      </c>
      <c r="H324" s="23" t="s">
        <v>858</v>
      </c>
      <c r="I324" s="26" t="s">
        <v>859</v>
      </c>
      <c r="J324" s="23" t="s">
        <v>1329</v>
      </c>
      <c r="K324" s="23" t="s">
        <v>1330</v>
      </c>
      <c r="L324" s="23" t="s">
        <v>1324</v>
      </c>
      <c r="M324" s="23" t="s">
        <v>58</v>
      </c>
      <c r="N324" s="23" t="s">
        <v>32</v>
      </c>
      <c r="O324" s="23" t="s">
        <v>863</v>
      </c>
      <c r="P324" s="23" t="s">
        <v>34</v>
      </c>
      <c r="Q324" s="27" t="str">
        <f>HYPERLINK("http://ovopark.oss-cn-hangzhou.aliyuncs.com/5497_241859623870245_image_1654824935568.jpg","查看图片")</f>
        <v>查看图片</v>
      </c>
      <c r="R324" s="23" t="s">
        <v>35</v>
      </c>
      <c r="S324" s="23" t="s">
        <v>1331</v>
      </c>
      <c r="T324" s="23" t="s">
        <v>37</v>
      </c>
    </row>
    <row r="325" s="17" customFormat="1" hidden="1" customHeight="1" spans="3:20">
      <c r="C325" s="23" t="s">
        <v>138</v>
      </c>
      <c r="D325" s="23" t="s">
        <v>139</v>
      </c>
      <c r="E325" s="23" t="s">
        <v>23</v>
      </c>
      <c r="F325" s="23" t="s">
        <v>24</v>
      </c>
      <c r="G325" s="23" t="s">
        <v>1332</v>
      </c>
      <c r="H325" s="23" t="s">
        <v>858</v>
      </c>
      <c r="I325" s="26" t="s">
        <v>859</v>
      </c>
      <c r="J325" s="23" t="s">
        <v>1333</v>
      </c>
      <c r="K325" s="23" t="s">
        <v>1334</v>
      </c>
      <c r="L325" s="23" t="s">
        <v>1335</v>
      </c>
      <c r="M325" s="23" t="s">
        <v>58</v>
      </c>
      <c r="N325" s="23" t="s">
        <v>32</v>
      </c>
      <c r="O325" s="23" t="s">
        <v>863</v>
      </c>
      <c r="P325" s="23" t="s">
        <v>34</v>
      </c>
      <c r="Q325" s="23" t="s">
        <v>34</v>
      </c>
      <c r="R325" s="23" t="s">
        <v>35</v>
      </c>
      <c r="S325" s="23" t="s">
        <v>1336</v>
      </c>
      <c r="T325" s="23" t="s">
        <v>37</v>
      </c>
    </row>
    <row r="326" s="17" customFormat="1" hidden="1" customHeight="1" spans="3:20">
      <c r="C326" s="23" t="s">
        <v>138</v>
      </c>
      <c r="D326" s="23" t="s">
        <v>161</v>
      </c>
      <c r="E326" s="23" t="s">
        <v>23</v>
      </c>
      <c r="F326" s="23" t="s">
        <v>24</v>
      </c>
      <c r="G326" s="23" t="s">
        <v>1332</v>
      </c>
      <c r="H326" s="23" t="s">
        <v>858</v>
      </c>
      <c r="I326" s="26" t="s">
        <v>859</v>
      </c>
      <c r="J326" s="23" t="s">
        <v>1337</v>
      </c>
      <c r="K326" s="23" t="s">
        <v>1338</v>
      </c>
      <c r="L326" s="23" t="s">
        <v>1335</v>
      </c>
      <c r="M326" s="23" t="s">
        <v>58</v>
      </c>
      <c r="N326" s="23" t="s">
        <v>32</v>
      </c>
      <c r="O326" s="23" t="s">
        <v>863</v>
      </c>
      <c r="P326" s="23" t="s">
        <v>34</v>
      </c>
      <c r="Q326" s="23" t="s">
        <v>34</v>
      </c>
      <c r="R326" s="23" t="s">
        <v>35</v>
      </c>
      <c r="S326" s="23" t="s">
        <v>1339</v>
      </c>
      <c r="T326" s="23" t="s">
        <v>37</v>
      </c>
    </row>
    <row r="327" s="17" customFormat="1" hidden="1" customHeight="1" spans="3:20">
      <c r="C327" s="23" t="s">
        <v>138</v>
      </c>
      <c r="D327" s="23" t="s">
        <v>156</v>
      </c>
      <c r="E327" s="23" t="s">
        <v>23</v>
      </c>
      <c r="F327" s="23" t="s">
        <v>24</v>
      </c>
      <c r="G327" s="23" t="s">
        <v>1332</v>
      </c>
      <c r="H327" s="23" t="s">
        <v>858</v>
      </c>
      <c r="I327" s="26" t="s">
        <v>859</v>
      </c>
      <c r="J327" s="23" t="s">
        <v>1340</v>
      </c>
      <c r="K327" s="23" t="s">
        <v>1341</v>
      </c>
      <c r="L327" s="23" t="s">
        <v>1335</v>
      </c>
      <c r="M327" s="23" t="s">
        <v>58</v>
      </c>
      <c r="N327" s="23" t="s">
        <v>32</v>
      </c>
      <c r="O327" s="23" t="s">
        <v>863</v>
      </c>
      <c r="P327" s="23" t="s">
        <v>34</v>
      </c>
      <c r="Q327" s="23" t="s">
        <v>34</v>
      </c>
      <c r="R327" s="23" t="s">
        <v>35</v>
      </c>
      <c r="S327" s="23" t="s">
        <v>1342</v>
      </c>
      <c r="T327" s="23" t="s">
        <v>37</v>
      </c>
    </row>
    <row r="328" s="17" customFormat="1" hidden="1" customHeight="1" spans="3:20">
      <c r="C328" s="23" t="s">
        <v>138</v>
      </c>
      <c r="D328" s="23" t="s">
        <v>152</v>
      </c>
      <c r="E328" s="23" t="s">
        <v>23</v>
      </c>
      <c r="F328" s="23" t="s">
        <v>24</v>
      </c>
      <c r="G328" s="23" t="s">
        <v>1343</v>
      </c>
      <c r="H328" s="23" t="s">
        <v>858</v>
      </c>
      <c r="I328" s="26" t="s">
        <v>859</v>
      </c>
      <c r="J328" s="23" t="s">
        <v>1344</v>
      </c>
      <c r="K328" s="23" t="s">
        <v>1345</v>
      </c>
      <c r="L328" s="23" t="s">
        <v>1003</v>
      </c>
      <c r="M328" s="23" t="s">
        <v>58</v>
      </c>
      <c r="N328" s="23" t="s">
        <v>32</v>
      </c>
      <c r="O328" s="23" t="s">
        <v>863</v>
      </c>
      <c r="P328" s="23" t="s">
        <v>34</v>
      </c>
      <c r="Q328" s="27" t="str">
        <f>HYPERLINK("https://ovopark.oss-cn-hangzhou.aliyuncs.com/2022/06/10/0_62_20220610153840_3061.jpeg","查看图片")</f>
        <v>查看图片</v>
      </c>
      <c r="R328" s="23" t="s">
        <v>35</v>
      </c>
      <c r="S328" s="23" t="s">
        <v>1346</v>
      </c>
      <c r="T328" s="23" t="s">
        <v>37</v>
      </c>
    </row>
    <row r="329" s="17" customFormat="1" hidden="1" customHeight="1" spans="3:20">
      <c r="C329" s="23" t="s">
        <v>138</v>
      </c>
      <c r="D329" s="23" t="s">
        <v>147</v>
      </c>
      <c r="E329" s="23" t="s">
        <v>23</v>
      </c>
      <c r="F329" s="23" t="s">
        <v>24</v>
      </c>
      <c r="G329" s="23" t="s">
        <v>1343</v>
      </c>
      <c r="H329" s="23" t="s">
        <v>858</v>
      </c>
      <c r="I329" s="26" t="s">
        <v>859</v>
      </c>
      <c r="J329" s="23" t="s">
        <v>1347</v>
      </c>
      <c r="K329" s="23" t="s">
        <v>1348</v>
      </c>
      <c r="L329" s="23" t="s">
        <v>1003</v>
      </c>
      <c r="M329" s="23" t="s">
        <v>58</v>
      </c>
      <c r="N329" s="23" t="s">
        <v>32</v>
      </c>
      <c r="O329" s="23" t="s">
        <v>863</v>
      </c>
      <c r="P329" s="23" t="s">
        <v>34</v>
      </c>
      <c r="Q329" s="27" t="str">
        <f>HYPERLINK("https://ovopark.oss-cn-hangzhou.aliyuncs.com/2022/06/10/0_62_20220610153807_5964.jpeg","查看图片")</f>
        <v>查看图片</v>
      </c>
      <c r="R329" s="23" t="s">
        <v>35</v>
      </c>
      <c r="S329" s="23" t="s">
        <v>1349</v>
      </c>
      <c r="T329" s="23" t="s">
        <v>37</v>
      </c>
    </row>
    <row r="330" s="17" customFormat="1" hidden="1" customHeight="1" spans="3:20">
      <c r="C330" s="23" t="s">
        <v>138</v>
      </c>
      <c r="D330" s="23" t="s">
        <v>152</v>
      </c>
      <c r="E330" s="23" t="s">
        <v>23</v>
      </c>
      <c r="F330" s="23" t="s">
        <v>24</v>
      </c>
      <c r="G330" s="23" t="s">
        <v>1350</v>
      </c>
      <c r="H330" s="23" t="s">
        <v>858</v>
      </c>
      <c r="I330" s="26" t="s">
        <v>859</v>
      </c>
      <c r="J330" s="23" t="s">
        <v>1351</v>
      </c>
      <c r="K330" s="23" t="s">
        <v>1352</v>
      </c>
      <c r="L330" s="23" t="s">
        <v>1324</v>
      </c>
      <c r="M330" s="23" t="s">
        <v>58</v>
      </c>
      <c r="N330" s="23" t="s">
        <v>32</v>
      </c>
      <c r="O330" s="23" t="s">
        <v>863</v>
      </c>
      <c r="P330" s="23" t="s">
        <v>34</v>
      </c>
      <c r="Q330" s="27" t="str">
        <f>HYPERLINK("http://ovopark.oss-cn-hangzhou.aliyuncs.com/5497_241810051138848_image_1654824885890.jpg","查看图片")</f>
        <v>查看图片</v>
      </c>
      <c r="R330" s="23" t="s">
        <v>35</v>
      </c>
      <c r="S330" s="23" t="s">
        <v>1353</v>
      </c>
      <c r="T330" s="23" t="s">
        <v>37</v>
      </c>
    </row>
    <row r="331" s="17" customFormat="1" hidden="1" customHeight="1" spans="3:20">
      <c r="C331" s="23" t="s">
        <v>138</v>
      </c>
      <c r="D331" s="23" t="s">
        <v>147</v>
      </c>
      <c r="E331" s="23" t="s">
        <v>23</v>
      </c>
      <c r="F331" s="23" t="s">
        <v>24</v>
      </c>
      <c r="G331" s="23" t="s">
        <v>1350</v>
      </c>
      <c r="H331" s="23" t="s">
        <v>858</v>
      </c>
      <c r="I331" s="26" t="s">
        <v>859</v>
      </c>
      <c r="J331" s="23" t="s">
        <v>1354</v>
      </c>
      <c r="K331" s="23" t="s">
        <v>1355</v>
      </c>
      <c r="L331" s="23" t="s">
        <v>1324</v>
      </c>
      <c r="M331" s="23" t="s">
        <v>58</v>
      </c>
      <c r="N331" s="23" t="s">
        <v>32</v>
      </c>
      <c r="O331" s="23" t="s">
        <v>863</v>
      </c>
      <c r="P331" s="23" t="s">
        <v>34</v>
      </c>
      <c r="Q331" s="27" t="str">
        <f>HYPERLINK("http://ovopark.oss-cn-hangzhou.aliyuncs.com/5497_241780108716386_image_1654824855829.jpg","查看图片")</f>
        <v>查看图片</v>
      </c>
      <c r="R331" s="23" t="s">
        <v>35</v>
      </c>
      <c r="S331" s="23" t="s">
        <v>1356</v>
      </c>
      <c r="T331" s="23" t="s">
        <v>37</v>
      </c>
    </row>
    <row r="332" s="17" customFormat="1" hidden="1" customHeight="1" spans="3:20">
      <c r="C332" s="23" t="s">
        <v>138</v>
      </c>
      <c r="D332" s="23" t="s">
        <v>152</v>
      </c>
      <c r="E332" s="23" t="s">
        <v>23</v>
      </c>
      <c r="F332" s="23" t="s">
        <v>24</v>
      </c>
      <c r="G332" s="23" t="s">
        <v>1357</v>
      </c>
      <c r="H332" s="23" t="s">
        <v>858</v>
      </c>
      <c r="I332" s="26" t="s">
        <v>859</v>
      </c>
      <c r="J332" s="23" t="s">
        <v>1358</v>
      </c>
      <c r="K332" s="23" t="s">
        <v>1359</v>
      </c>
      <c r="L332" s="23" t="s">
        <v>1335</v>
      </c>
      <c r="M332" s="23" t="s">
        <v>58</v>
      </c>
      <c r="N332" s="23" t="s">
        <v>32</v>
      </c>
      <c r="O332" s="23" t="s">
        <v>863</v>
      </c>
      <c r="P332" s="23" t="s">
        <v>34</v>
      </c>
      <c r="Q332" s="23" t="s">
        <v>34</v>
      </c>
      <c r="R332" s="23" t="s">
        <v>35</v>
      </c>
      <c r="S332" s="23" t="s">
        <v>1360</v>
      </c>
      <c r="T332" s="23" t="s">
        <v>37</v>
      </c>
    </row>
    <row r="333" s="17" customFormat="1" hidden="1" customHeight="1" spans="3:20">
      <c r="C333" s="23" t="s">
        <v>138</v>
      </c>
      <c r="D333" s="23" t="s">
        <v>147</v>
      </c>
      <c r="E333" s="23" t="s">
        <v>23</v>
      </c>
      <c r="F333" s="23" t="s">
        <v>24</v>
      </c>
      <c r="G333" s="23" t="s">
        <v>1357</v>
      </c>
      <c r="H333" s="23" t="s">
        <v>858</v>
      </c>
      <c r="I333" s="26" t="s">
        <v>859</v>
      </c>
      <c r="J333" s="23" t="s">
        <v>1361</v>
      </c>
      <c r="K333" s="23" t="s">
        <v>1362</v>
      </c>
      <c r="L333" s="23" t="s">
        <v>1335</v>
      </c>
      <c r="M333" s="23" t="s">
        <v>58</v>
      </c>
      <c r="N333" s="23" t="s">
        <v>32</v>
      </c>
      <c r="O333" s="23" t="s">
        <v>863</v>
      </c>
      <c r="P333" s="23" t="s">
        <v>34</v>
      </c>
      <c r="Q333" s="23" t="s">
        <v>34</v>
      </c>
      <c r="R333" s="23" t="s">
        <v>35</v>
      </c>
      <c r="S333" s="23" t="s">
        <v>1363</v>
      </c>
      <c r="T333" s="23" t="s">
        <v>37</v>
      </c>
    </row>
    <row r="334" s="17" customFormat="1" hidden="1" customHeight="1" spans="3:20">
      <c r="C334" s="23" t="s">
        <v>138</v>
      </c>
      <c r="D334" s="23" t="s">
        <v>168</v>
      </c>
      <c r="E334" s="23" t="s">
        <v>23</v>
      </c>
      <c r="F334" s="23" t="s">
        <v>24</v>
      </c>
      <c r="G334" s="23" t="s">
        <v>1364</v>
      </c>
      <c r="H334" s="23" t="s">
        <v>858</v>
      </c>
      <c r="I334" s="26" t="s">
        <v>859</v>
      </c>
      <c r="J334" s="23" t="s">
        <v>1365</v>
      </c>
      <c r="K334" s="23" t="s">
        <v>1366</v>
      </c>
      <c r="L334" s="23" t="s">
        <v>1003</v>
      </c>
      <c r="M334" s="23" t="s">
        <v>58</v>
      </c>
      <c r="N334" s="23" t="s">
        <v>32</v>
      </c>
      <c r="O334" s="23" t="s">
        <v>863</v>
      </c>
      <c r="P334" s="23" t="s">
        <v>34</v>
      </c>
      <c r="Q334" s="27" t="str">
        <f>HYPERLINK("https://ovopark.oss-cn-hangzhou.aliyuncs.com/2022/06/10/0_62_20220610154135_2004.jpeg","查看图片")</f>
        <v>查看图片</v>
      </c>
      <c r="R334" s="23" t="s">
        <v>35</v>
      </c>
      <c r="S334" s="23" t="s">
        <v>1367</v>
      </c>
      <c r="T334" s="23" t="s">
        <v>37</v>
      </c>
    </row>
    <row r="335" s="17" customFormat="1" hidden="1" customHeight="1" spans="3:20">
      <c r="C335" s="23" t="s">
        <v>138</v>
      </c>
      <c r="D335" s="23" t="s">
        <v>168</v>
      </c>
      <c r="E335" s="23" t="s">
        <v>23</v>
      </c>
      <c r="F335" s="23" t="s">
        <v>24</v>
      </c>
      <c r="G335" s="23" t="s">
        <v>1368</v>
      </c>
      <c r="H335" s="23" t="s">
        <v>858</v>
      </c>
      <c r="I335" s="26" t="s">
        <v>859</v>
      </c>
      <c r="J335" s="23" t="s">
        <v>1369</v>
      </c>
      <c r="K335" s="23" t="s">
        <v>1370</v>
      </c>
      <c r="L335" s="23" t="s">
        <v>1324</v>
      </c>
      <c r="M335" s="23" t="s">
        <v>58</v>
      </c>
      <c r="N335" s="23" t="s">
        <v>32</v>
      </c>
      <c r="O335" s="23" t="s">
        <v>863</v>
      </c>
      <c r="P335" s="23" t="s">
        <v>34</v>
      </c>
      <c r="Q335" s="27" t="str">
        <f>HYPERLINK("http://ovopark.oss-cn-hangzhou.aliyuncs.com/5497_241759325412284_image_1654824834467.jpg","查看图片")</f>
        <v>查看图片</v>
      </c>
      <c r="R335" s="23" t="s">
        <v>35</v>
      </c>
      <c r="S335" s="23" t="s">
        <v>1371</v>
      </c>
      <c r="T335" s="23" t="s">
        <v>37</v>
      </c>
    </row>
    <row r="336" s="17" customFormat="1" hidden="1" customHeight="1" spans="3:20">
      <c r="C336" s="23" t="s">
        <v>138</v>
      </c>
      <c r="D336" s="23" t="s">
        <v>168</v>
      </c>
      <c r="E336" s="23" t="s">
        <v>23</v>
      </c>
      <c r="F336" s="23" t="s">
        <v>24</v>
      </c>
      <c r="G336" s="23" t="s">
        <v>1372</v>
      </c>
      <c r="H336" s="23" t="s">
        <v>858</v>
      </c>
      <c r="I336" s="26" t="s">
        <v>859</v>
      </c>
      <c r="J336" s="23" t="s">
        <v>1373</v>
      </c>
      <c r="K336" s="23" t="s">
        <v>1374</v>
      </c>
      <c r="L336" s="23" t="s">
        <v>1335</v>
      </c>
      <c r="M336" s="23" t="s">
        <v>58</v>
      </c>
      <c r="N336" s="23" t="s">
        <v>32</v>
      </c>
      <c r="O336" s="23" t="s">
        <v>863</v>
      </c>
      <c r="P336" s="23" t="s">
        <v>34</v>
      </c>
      <c r="Q336" s="23" t="s">
        <v>34</v>
      </c>
      <c r="R336" s="23" t="s">
        <v>35</v>
      </c>
      <c r="S336" s="23" t="s">
        <v>1375</v>
      </c>
      <c r="T336" s="23" t="s">
        <v>37</v>
      </c>
    </row>
    <row r="337" s="17" customFormat="1" hidden="1" customHeight="1" spans="3:20">
      <c r="C337" s="23" t="s">
        <v>21</v>
      </c>
      <c r="D337" s="23" t="s">
        <v>22</v>
      </c>
      <c r="E337" s="23" t="s">
        <v>23</v>
      </c>
      <c r="F337" s="23" t="s">
        <v>24</v>
      </c>
      <c r="G337" s="23" t="s">
        <v>1376</v>
      </c>
      <c r="H337" s="23" t="s">
        <v>858</v>
      </c>
      <c r="I337" s="26" t="s">
        <v>859</v>
      </c>
      <c r="J337" s="23" t="s">
        <v>1377</v>
      </c>
      <c r="K337" s="23" t="s">
        <v>1378</v>
      </c>
      <c r="L337" s="23" t="s">
        <v>1003</v>
      </c>
      <c r="M337" s="23" t="s">
        <v>58</v>
      </c>
      <c r="N337" s="23" t="s">
        <v>32</v>
      </c>
      <c r="O337" s="23" t="s">
        <v>863</v>
      </c>
      <c r="P337" s="23" t="s">
        <v>34</v>
      </c>
      <c r="Q337" s="27" t="str">
        <f>HYPERLINK("https://ovopark.oss-cn-hangzhou.aliyuncs.com/2022/06/10/0_62_20220610154230_5228.jpeg","查看图片")</f>
        <v>查看图片</v>
      </c>
      <c r="R337" s="23" t="s">
        <v>35</v>
      </c>
      <c r="S337" s="23" t="s">
        <v>1379</v>
      </c>
      <c r="T337" s="23" t="s">
        <v>37</v>
      </c>
    </row>
    <row r="338" s="17" customFormat="1" hidden="1" customHeight="1" spans="3:20">
      <c r="C338" s="23" t="s">
        <v>21</v>
      </c>
      <c r="D338" s="23" t="s">
        <v>22</v>
      </c>
      <c r="E338" s="23" t="s">
        <v>23</v>
      </c>
      <c r="F338" s="23" t="s">
        <v>24</v>
      </c>
      <c r="G338" s="23" t="s">
        <v>1380</v>
      </c>
      <c r="H338" s="23" t="s">
        <v>858</v>
      </c>
      <c r="I338" s="26" t="s">
        <v>859</v>
      </c>
      <c r="J338" s="23" t="s">
        <v>1381</v>
      </c>
      <c r="K338" s="23" t="s">
        <v>1382</v>
      </c>
      <c r="L338" s="23" t="s">
        <v>1324</v>
      </c>
      <c r="M338" s="23" t="s">
        <v>58</v>
      </c>
      <c r="N338" s="23" t="s">
        <v>32</v>
      </c>
      <c r="O338" s="23" t="s">
        <v>863</v>
      </c>
      <c r="P338" s="23" t="s">
        <v>34</v>
      </c>
      <c r="Q338" s="27" t="str">
        <f>HYPERLINK("http://ovopark.oss-cn-hangzhou.aliyuncs.com/5497_241725453997764_image_1654824801187.jpg","查看图片")</f>
        <v>查看图片</v>
      </c>
      <c r="R338" s="23" t="s">
        <v>35</v>
      </c>
      <c r="S338" s="23" t="s">
        <v>1383</v>
      </c>
      <c r="T338" s="23" t="s">
        <v>37</v>
      </c>
    </row>
    <row r="339" s="17" customFormat="1" hidden="1" customHeight="1" spans="3:20">
      <c r="C339" s="23" t="s">
        <v>21</v>
      </c>
      <c r="D339" s="23" t="s">
        <v>22</v>
      </c>
      <c r="E339" s="23" t="s">
        <v>23</v>
      </c>
      <c r="F339" s="23" t="s">
        <v>24</v>
      </c>
      <c r="G339" s="23" t="s">
        <v>1384</v>
      </c>
      <c r="H339" s="23" t="s">
        <v>858</v>
      </c>
      <c r="I339" s="26" t="s">
        <v>859</v>
      </c>
      <c r="J339" s="23" t="s">
        <v>1385</v>
      </c>
      <c r="K339" s="23" t="s">
        <v>1386</v>
      </c>
      <c r="L339" s="23" t="s">
        <v>1335</v>
      </c>
      <c r="M339" s="23" t="s">
        <v>58</v>
      </c>
      <c r="N339" s="23" t="s">
        <v>32</v>
      </c>
      <c r="O339" s="23" t="s">
        <v>863</v>
      </c>
      <c r="P339" s="23" t="s">
        <v>34</v>
      </c>
      <c r="Q339" s="23" t="s">
        <v>34</v>
      </c>
      <c r="R339" s="23" t="s">
        <v>35</v>
      </c>
      <c r="S339" s="23" t="s">
        <v>1387</v>
      </c>
      <c r="T339" s="23" t="s">
        <v>37</v>
      </c>
    </row>
    <row r="340" s="17" customFormat="1" customHeight="1" spans="1:41">
      <c r="A340" s="20">
        <v>582</v>
      </c>
      <c r="B340" s="20" t="s">
        <v>495</v>
      </c>
      <c r="C340" s="23" t="s">
        <v>138</v>
      </c>
      <c r="D340" s="23" t="s">
        <v>183</v>
      </c>
      <c r="E340" s="23" t="s">
        <v>23</v>
      </c>
      <c r="F340" s="23" t="s">
        <v>24</v>
      </c>
      <c r="G340" s="23" t="s">
        <v>1388</v>
      </c>
      <c r="H340" s="23" t="s">
        <v>567</v>
      </c>
      <c r="I340" s="26" t="s">
        <v>568</v>
      </c>
      <c r="J340" s="23" t="s">
        <v>1389</v>
      </c>
      <c r="K340" s="23" t="s">
        <v>1390</v>
      </c>
      <c r="L340" s="23" t="s">
        <v>500</v>
      </c>
      <c r="M340" s="25" t="s">
        <v>31</v>
      </c>
      <c r="N340" s="23" t="s">
        <v>32</v>
      </c>
      <c r="O340" s="23" t="s">
        <v>197</v>
      </c>
      <c r="P340" s="23" t="s">
        <v>34</v>
      </c>
      <c r="Q340" s="27" t="str">
        <f>HYPERLINK("http://ovopark.oss-cn-hangzhou.aliyuncs.com/62_1654754175071_2124_357756570836181_.jpg","查看图片")</f>
        <v>查看图片</v>
      </c>
      <c r="R340" s="23" t="s">
        <v>35</v>
      </c>
      <c r="S340" s="23" t="s">
        <v>1391</v>
      </c>
      <c r="T340" s="23" t="s">
        <v>37</v>
      </c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1"/>
      <c r="AI340" s="20"/>
      <c r="AJ340" s="20"/>
      <c r="AK340" s="20"/>
      <c r="AL340" s="20"/>
      <c r="AM340" s="20"/>
      <c r="AN340" s="20"/>
      <c r="AO340" s="20"/>
    </row>
    <row r="341" s="17" customFormat="1" customHeight="1" spans="1:41">
      <c r="A341" s="20">
        <v>582</v>
      </c>
      <c r="B341" s="20" t="s">
        <v>495</v>
      </c>
      <c r="C341" s="23" t="s">
        <v>21</v>
      </c>
      <c r="D341" s="23" t="s">
        <v>22</v>
      </c>
      <c r="E341" s="23" t="s">
        <v>23</v>
      </c>
      <c r="F341" s="23" t="s">
        <v>24</v>
      </c>
      <c r="G341" s="23" t="s">
        <v>1392</v>
      </c>
      <c r="H341" s="23" t="s">
        <v>567</v>
      </c>
      <c r="I341" s="26" t="s">
        <v>568</v>
      </c>
      <c r="J341" s="23" t="s">
        <v>1393</v>
      </c>
      <c r="K341" s="23" t="s">
        <v>1394</v>
      </c>
      <c r="L341" s="23" t="s">
        <v>500</v>
      </c>
      <c r="M341" s="25" t="s">
        <v>31</v>
      </c>
      <c r="N341" s="23" t="s">
        <v>32</v>
      </c>
      <c r="O341" s="23" t="s">
        <v>197</v>
      </c>
      <c r="P341" s="23" t="s">
        <v>34</v>
      </c>
      <c r="Q341" s="27" t="str">
        <f>HYPERLINK("http://ovopark.oss-cn-hangzhou.aliyuncs.com/62_1654754202383_2124_357783882761379_.jpg","查看图片")</f>
        <v>查看图片</v>
      </c>
      <c r="R341" s="23" t="s">
        <v>35</v>
      </c>
      <c r="S341" s="23" t="s">
        <v>1395</v>
      </c>
      <c r="T341" s="23" t="s">
        <v>37</v>
      </c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1"/>
      <c r="AI341" s="20"/>
      <c r="AJ341" s="20"/>
      <c r="AK341" s="20"/>
      <c r="AL341" s="20"/>
      <c r="AM341" s="20"/>
      <c r="AN341" s="20"/>
      <c r="AO341" s="20"/>
    </row>
    <row r="342" s="17" customFormat="1" customHeight="1" spans="1:41">
      <c r="A342" s="20">
        <v>582</v>
      </c>
      <c r="B342" s="20" t="s">
        <v>495</v>
      </c>
      <c r="C342" s="23" t="s">
        <v>138</v>
      </c>
      <c r="D342" s="23" t="s">
        <v>174</v>
      </c>
      <c r="E342" s="23" t="s">
        <v>23</v>
      </c>
      <c r="F342" s="23" t="s">
        <v>24</v>
      </c>
      <c r="G342" s="23" t="s">
        <v>1388</v>
      </c>
      <c r="H342" s="23" t="s">
        <v>567</v>
      </c>
      <c r="I342" s="26" t="s">
        <v>568</v>
      </c>
      <c r="J342" s="23" t="s">
        <v>1396</v>
      </c>
      <c r="K342" s="23" t="s">
        <v>1397</v>
      </c>
      <c r="L342" s="23" t="s">
        <v>500</v>
      </c>
      <c r="M342" s="25" t="s">
        <v>31</v>
      </c>
      <c r="N342" s="23" t="s">
        <v>32</v>
      </c>
      <c r="O342" s="23" t="s">
        <v>197</v>
      </c>
      <c r="P342" s="23" t="s">
        <v>34</v>
      </c>
      <c r="Q342" s="27" t="str">
        <f>HYPERLINK("http://ovopark.oss-cn-hangzhou.aliyuncs.com/62_1654754228927_2124_357810426566629_.jpg","查看图片")</f>
        <v>查看图片</v>
      </c>
      <c r="R342" s="23" t="s">
        <v>35</v>
      </c>
      <c r="S342" s="23" t="s">
        <v>1398</v>
      </c>
      <c r="T342" s="23" t="s">
        <v>37</v>
      </c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1"/>
      <c r="AI342" s="20"/>
      <c r="AJ342" s="20"/>
      <c r="AK342" s="20"/>
      <c r="AL342" s="20"/>
      <c r="AM342" s="20"/>
      <c r="AN342" s="20"/>
      <c r="AO342" s="20"/>
    </row>
    <row r="343" s="17" customFormat="1" customHeight="1" spans="1:41">
      <c r="A343" s="20">
        <v>582</v>
      </c>
      <c r="B343" s="20" t="s">
        <v>495</v>
      </c>
      <c r="C343" s="23" t="s">
        <v>138</v>
      </c>
      <c r="D343" s="23" t="s">
        <v>179</v>
      </c>
      <c r="E343" s="23" t="s">
        <v>23</v>
      </c>
      <c r="F343" s="23" t="s">
        <v>24</v>
      </c>
      <c r="G343" s="23" t="s">
        <v>1388</v>
      </c>
      <c r="H343" s="23" t="s">
        <v>567</v>
      </c>
      <c r="I343" s="26" t="s">
        <v>568</v>
      </c>
      <c r="J343" s="23" t="s">
        <v>1399</v>
      </c>
      <c r="K343" s="23" t="s">
        <v>1400</v>
      </c>
      <c r="L343" s="23" t="s">
        <v>500</v>
      </c>
      <c r="M343" s="25" t="s">
        <v>31</v>
      </c>
      <c r="N343" s="23" t="s">
        <v>32</v>
      </c>
      <c r="O343" s="23" t="s">
        <v>197</v>
      </c>
      <c r="P343" s="23" t="s">
        <v>34</v>
      </c>
      <c r="Q343" s="27" t="str">
        <f>HYPERLINK("http://ovopark.oss-cn-hangzhou.aliyuncs.com/62_1654754288909_2124_357870410503377_.jpg","查看图片")</f>
        <v>查看图片</v>
      </c>
      <c r="R343" s="23" t="s">
        <v>35</v>
      </c>
      <c r="S343" s="23" t="s">
        <v>1401</v>
      </c>
      <c r="T343" s="23" t="s">
        <v>37</v>
      </c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1"/>
      <c r="AI343" s="20"/>
      <c r="AJ343" s="20"/>
      <c r="AK343" s="20"/>
      <c r="AL343" s="20"/>
      <c r="AM343" s="20"/>
      <c r="AN343" s="20"/>
      <c r="AO343" s="20"/>
    </row>
    <row r="344" s="17" customFormat="1" customHeight="1" spans="1:41">
      <c r="A344" s="20">
        <v>117184</v>
      </c>
      <c r="B344" s="20" t="s">
        <v>875</v>
      </c>
      <c r="C344" s="23" t="s">
        <v>138</v>
      </c>
      <c r="D344" s="23" t="s">
        <v>1182</v>
      </c>
      <c r="E344" s="23" t="s">
        <v>23</v>
      </c>
      <c r="F344" s="23" t="s">
        <v>461</v>
      </c>
      <c r="G344" s="23" t="s">
        <v>1402</v>
      </c>
      <c r="H344" s="23" t="s">
        <v>1184</v>
      </c>
      <c r="I344" s="26" t="s">
        <v>1185</v>
      </c>
      <c r="J344" s="23" t="s">
        <v>463</v>
      </c>
      <c r="K344" s="23" t="s">
        <v>463</v>
      </c>
      <c r="L344" s="23" t="s">
        <v>877</v>
      </c>
      <c r="M344" s="25" t="s">
        <v>31</v>
      </c>
      <c r="N344" s="23" t="s">
        <v>877</v>
      </c>
      <c r="O344" s="23" t="s">
        <v>726</v>
      </c>
      <c r="P344" s="23" t="s">
        <v>34</v>
      </c>
      <c r="Q344" s="23" t="s">
        <v>34</v>
      </c>
      <c r="R344" s="23" t="s">
        <v>35</v>
      </c>
      <c r="S344" s="23" t="s">
        <v>1403</v>
      </c>
      <c r="T344" s="23" t="s">
        <v>37</v>
      </c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1"/>
      <c r="AI344" s="20"/>
      <c r="AJ344" s="20"/>
      <c r="AK344" s="20"/>
      <c r="AL344" s="20"/>
      <c r="AM344" s="20"/>
      <c r="AN344" s="20"/>
      <c r="AO344" s="20"/>
    </row>
    <row r="345" s="17" customFormat="1" customHeight="1" spans="1:41">
      <c r="A345" s="20">
        <v>738</v>
      </c>
      <c r="B345" s="20" t="s">
        <v>278</v>
      </c>
      <c r="C345" s="23" t="s">
        <v>138</v>
      </c>
      <c r="D345" s="23" t="s">
        <v>161</v>
      </c>
      <c r="E345" s="23" t="s">
        <v>23</v>
      </c>
      <c r="F345" s="23" t="s">
        <v>24</v>
      </c>
      <c r="G345" s="23" t="s">
        <v>1404</v>
      </c>
      <c r="H345" s="23" t="s">
        <v>1405</v>
      </c>
      <c r="I345" s="26" t="s">
        <v>567</v>
      </c>
      <c r="J345" s="23" t="s">
        <v>1406</v>
      </c>
      <c r="K345" s="23" t="s">
        <v>1407</v>
      </c>
      <c r="L345" s="23" t="s">
        <v>282</v>
      </c>
      <c r="M345" s="25" t="s">
        <v>31</v>
      </c>
      <c r="N345" s="23" t="s">
        <v>32</v>
      </c>
      <c r="O345" s="23" t="s">
        <v>145</v>
      </c>
      <c r="P345" s="23" t="s">
        <v>34</v>
      </c>
      <c r="Q345" s="27" t="str">
        <f>HYPERLINK("https://ovopark.oss-cn-hangzhou.aliyuncs.com/2022/06/06/image_1654521005180.jpg","查看图片")</f>
        <v>查看图片</v>
      </c>
      <c r="R345" s="23" t="s">
        <v>35</v>
      </c>
      <c r="S345" s="23" t="s">
        <v>1408</v>
      </c>
      <c r="T345" s="23" t="s">
        <v>37</v>
      </c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1"/>
      <c r="AI345" s="20"/>
      <c r="AJ345" s="20"/>
      <c r="AK345" s="20"/>
      <c r="AL345" s="20"/>
      <c r="AM345" s="20"/>
      <c r="AN345" s="20"/>
      <c r="AO345" s="20"/>
    </row>
    <row r="346" s="17" customFormat="1" customHeight="1" spans="1:41">
      <c r="A346" s="20">
        <v>738</v>
      </c>
      <c r="B346" s="20" t="s">
        <v>278</v>
      </c>
      <c r="C346" s="23" t="s">
        <v>291</v>
      </c>
      <c r="D346" s="23" t="s">
        <v>292</v>
      </c>
      <c r="E346" s="23" t="s">
        <v>23</v>
      </c>
      <c r="F346" s="23" t="s">
        <v>24</v>
      </c>
      <c r="G346" s="23" t="s">
        <v>1409</v>
      </c>
      <c r="H346" s="23" t="s">
        <v>1405</v>
      </c>
      <c r="I346" s="26" t="s">
        <v>567</v>
      </c>
      <c r="J346" s="23" t="s">
        <v>1410</v>
      </c>
      <c r="K346" s="23" t="s">
        <v>1411</v>
      </c>
      <c r="L346" s="23" t="s">
        <v>282</v>
      </c>
      <c r="M346" s="25" t="s">
        <v>31</v>
      </c>
      <c r="N346" s="23" t="s">
        <v>32</v>
      </c>
      <c r="O346" s="23" t="s">
        <v>145</v>
      </c>
      <c r="P346" s="27" t="str">
        <f>HYPERLINK("https://ovopark.oss-cn-hangzhou.aliyuncs.com/6ddf27a1ee4142e396031efee1625c2f.jpg?x-oss-process=image/resize,w_700,l_700","查看图片")</f>
        <v>查看图片</v>
      </c>
      <c r="Q346" s="27" t="str">
        <f>HYPERLINK("https://ovopark.oss-cn-hangzhou.aliyuncs.com/2022/06/06/image_1654520841405.jpg","查看图片")</f>
        <v>查看图片</v>
      </c>
      <c r="R346" s="23" t="s">
        <v>35</v>
      </c>
      <c r="S346" s="23" t="s">
        <v>1412</v>
      </c>
      <c r="T346" s="23" t="s">
        <v>37</v>
      </c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1"/>
      <c r="AI346" s="20"/>
      <c r="AJ346" s="20"/>
      <c r="AK346" s="20"/>
      <c r="AL346" s="20"/>
      <c r="AM346" s="20"/>
      <c r="AN346" s="20"/>
      <c r="AO346" s="20"/>
    </row>
    <row r="347" s="17" customFormat="1" customHeight="1" spans="1:41">
      <c r="A347" s="20">
        <v>738</v>
      </c>
      <c r="B347" s="20" t="s">
        <v>278</v>
      </c>
      <c r="C347" s="23" t="s">
        <v>138</v>
      </c>
      <c r="D347" s="23" t="s">
        <v>152</v>
      </c>
      <c r="E347" s="23" t="s">
        <v>23</v>
      </c>
      <c r="F347" s="23" t="s">
        <v>24</v>
      </c>
      <c r="G347" s="23" t="s">
        <v>1413</v>
      </c>
      <c r="H347" s="23" t="s">
        <v>1405</v>
      </c>
      <c r="I347" s="26" t="s">
        <v>567</v>
      </c>
      <c r="J347" s="23" t="s">
        <v>1414</v>
      </c>
      <c r="K347" s="23" t="s">
        <v>1415</v>
      </c>
      <c r="L347" s="23" t="s">
        <v>282</v>
      </c>
      <c r="M347" s="25" t="s">
        <v>31</v>
      </c>
      <c r="N347" s="23" t="s">
        <v>32</v>
      </c>
      <c r="O347" s="23" t="s">
        <v>145</v>
      </c>
      <c r="P347" s="23" t="s">
        <v>34</v>
      </c>
      <c r="Q347" s="27" t="str">
        <f>HYPERLINK("https://ovopark.oss-cn-hangzhou.aliyuncs.com/2022/06/06/image_1654521832459.jpg","查看图片")</f>
        <v>查看图片</v>
      </c>
      <c r="R347" s="23" t="s">
        <v>35</v>
      </c>
      <c r="S347" s="23" t="s">
        <v>1416</v>
      </c>
      <c r="T347" s="23" t="s">
        <v>37</v>
      </c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1"/>
      <c r="AI347" s="20"/>
      <c r="AJ347" s="20"/>
      <c r="AK347" s="20"/>
      <c r="AL347" s="20"/>
      <c r="AM347" s="20"/>
      <c r="AN347" s="20"/>
      <c r="AO347" s="20"/>
    </row>
    <row r="348" s="17" customFormat="1" customHeight="1" spans="1:41">
      <c r="A348" s="20">
        <v>738</v>
      </c>
      <c r="B348" s="20" t="s">
        <v>278</v>
      </c>
      <c r="C348" s="23" t="s">
        <v>138</v>
      </c>
      <c r="D348" s="23" t="s">
        <v>147</v>
      </c>
      <c r="E348" s="23" t="s">
        <v>23</v>
      </c>
      <c r="F348" s="23" t="s">
        <v>24</v>
      </c>
      <c r="G348" s="23" t="s">
        <v>1413</v>
      </c>
      <c r="H348" s="23" t="s">
        <v>1405</v>
      </c>
      <c r="I348" s="26" t="s">
        <v>567</v>
      </c>
      <c r="J348" s="23" t="s">
        <v>1417</v>
      </c>
      <c r="K348" s="23" t="s">
        <v>1418</v>
      </c>
      <c r="L348" s="23" t="s">
        <v>282</v>
      </c>
      <c r="M348" s="25" t="s">
        <v>31</v>
      </c>
      <c r="N348" s="23" t="s">
        <v>32</v>
      </c>
      <c r="O348" s="23" t="s">
        <v>145</v>
      </c>
      <c r="P348" s="23" t="s">
        <v>34</v>
      </c>
      <c r="Q348" s="27" t="str">
        <f>HYPERLINK("https://ovopark.oss-cn-hangzhou.aliyuncs.com/2022/06/06/image_1654521890440.jpg","查看图片")</f>
        <v>查看图片</v>
      </c>
      <c r="R348" s="23" t="s">
        <v>35</v>
      </c>
      <c r="S348" s="23" t="s">
        <v>1419</v>
      </c>
      <c r="T348" s="23" t="s">
        <v>37</v>
      </c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1"/>
      <c r="AI348" s="20"/>
      <c r="AJ348" s="20"/>
      <c r="AK348" s="20"/>
      <c r="AL348" s="20"/>
      <c r="AM348" s="20"/>
      <c r="AN348" s="20"/>
      <c r="AO348" s="20"/>
    </row>
    <row r="349" s="17" customFormat="1" customHeight="1" spans="1:41">
      <c r="A349" s="20">
        <v>738</v>
      </c>
      <c r="B349" s="20" t="s">
        <v>278</v>
      </c>
      <c r="C349" s="23" t="s">
        <v>138</v>
      </c>
      <c r="D349" s="23" t="s">
        <v>139</v>
      </c>
      <c r="E349" s="23" t="s">
        <v>23</v>
      </c>
      <c r="F349" s="23" t="s">
        <v>24</v>
      </c>
      <c r="G349" s="23" t="s">
        <v>1420</v>
      </c>
      <c r="H349" s="23" t="s">
        <v>1405</v>
      </c>
      <c r="I349" s="26" t="s">
        <v>567</v>
      </c>
      <c r="J349" s="23" t="s">
        <v>1421</v>
      </c>
      <c r="K349" s="23" t="s">
        <v>1422</v>
      </c>
      <c r="L349" s="23" t="s">
        <v>282</v>
      </c>
      <c r="M349" s="25" t="s">
        <v>31</v>
      </c>
      <c r="N349" s="23" t="s">
        <v>32</v>
      </c>
      <c r="O349" s="23" t="s">
        <v>145</v>
      </c>
      <c r="P349" s="23" t="s">
        <v>34</v>
      </c>
      <c r="Q349" s="27" t="str">
        <f>HYPERLINK("https://ovopark.oss-cn-hangzhou.aliyuncs.com/2022/06/06/image_1654521918478.jpg","查看图片")</f>
        <v>查看图片</v>
      </c>
      <c r="R349" s="23" t="s">
        <v>35</v>
      </c>
      <c r="S349" s="23" t="s">
        <v>1423</v>
      </c>
      <c r="T349" s="23" t="s">
        <v>37</v>
      </c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1"/>
      <c r="AI349" s="20"/>
      <c r="AJ349" s="20"/>
      <c r="AK349" s="20"/>
      <c r="AL349" s="20"/>
      <c r="AM349" s="20"/>
      <c r="AN349" s="20"/>
      <c r="AO349" s="20"/>
    </row>
    <row r="350" s="17" customFormat="1" hidden="1" customHeight="1" spans="3:20">
      <c r="C350" s="23" t="s">
        <v>291</v>
      </c>
      <c r="D350" s="23" t="s">
        <v>292</v>
      </c>
      <c r="E350" s="23" t="s">
        <v>23</v>
      </c>
      <c r="F350" s="23" t="s">
        <v>24</v>
      </c>
      <c r="G350" s="23" t="s">
        <v>1424</v>
      </c>
      <c r="H350" s="23" t="s">
        <v>1425</v>
      </c>
      <c r="I350" s="26" t="s">
        <v>1184</v>
      </c>
      <c r="J350" s="23" t="s">
        <v>1426</v>
      </c>
      <c r="K350" s="23" t="s">
        <v>1427</v>
      </c>
      <c r="L350" s="23" t="s">
        <v>272</v>
      </c>
      <c r="M350" s="23" t="s">
        <v>58</v>
      </c>
      <c r="N350" s="23" t="s">
        <v>32</v>
      </c>
      <c r="O350" s="23" t="s">
        <v>145</v>
      </c>
      <c r="P350" s="27" t="str">
        <f>HYPERLINK("https://ovopark.oss-cn-hangzhou.aliyuncs.com/4a7156cd5aed2d09aa10c5b83bc2d025.jpg?x-oss-process=image/resize,w_700,l_700","查看图片")</f>
        <v>查看图片</v>
      </c>
      <c r="Q350" s="27" t="str">
        <f>HYPERLINK("http://ovopark.oss-cn-hangzhou.aliyuncs.com/2015_336698415488206_IMG_20220602_215554.jpg","查看图片")</f>
        <v>查看图片</v>
      </c>
      <c r="R350" s="23" t="s">
        <v>35</v>
      </c>
      <c r="S350" s="23" t="s">
        <v>1428</v>
      </c>
      <c r="T350" s="23" t="s">
        <v>37</v>
      </c>
    </row>
    <row r="351" s="17" customFormat="1" hidden="1" customHeight="1" spans="3:20">
      <c r="C351" s="23" t="s">
        <v>138</v>
      </c>
      <c r="D351" s="23" t="s">
        <v>139</v>
      </c>
      <c r="E351" s="23" t="s">
        <v>23</v>
      </c>
      <c r="F351" s="23" t="s">
        <v>24</v>
      </c>
      <c r="G351" s="23" t="s">
        <v>1429</v>
      </c>
      <c r="H351" s="23" t="s">
        <v>1405</v>
      </c>
      <c r="I351" s="26" t="s">
        <v>567</v>
      </c>
      <c r="J351" s="23" t="s">
        <v>1430</v>
      </c>
      <c r="K351" s="23" t="s">
        <v>1431</v>
      </c>
      <c r="L351" s="23" t="s">
        <v>144</v>
      </c>
      <c r="M351" s="23" t="s">
        <v>58</v>
      </c>
      <c r="N351" s="23" t="s">
        <v>32</v>
      </c>
      <c r="O351" s="23" t="s">
        <v>145</v>
      </c>
      <c r="P351" s="23" t="s">
        <v>34</v>
      </c>
      <c r="Q351" s="23" t="s">
        <v>34</v>
      </c>
      <c r="R351" s="23" t="s">
        <v>35</v>
      </c>
      <c r="S351" s="23" t="s">
        <v>1432</v>
      </c>
      <c r="T351" s="23" t="s">
        <v>37</v>
      </c>
    </row>
    <row r="352" s="17" customFormat="1" hidden="1" customHeight="1" spans="3:20">
      <c r="C352" s="23" t="s">
        <v>138</v>
      </c>
      <c r="D352" s="23" t="s">
        <v>161</v>
      </c>
      <c r="E352" s="23" t="s">
        <v>23</v>
      </c>
      <c r="F352" s="23" t="s">
        <v>24</v>
      </c>
      <c r="G352" s="23" t="s">
        <v>1429</v>
      </c>
      <c r="H352" s="23" t="s">
        <v>1405</v>
      </c>
      <c r="I352" s="26" t="s">
        <v>567</v>
      </c>
      <c r="J352" s="23" t="s">
        <v>1433</v>
      </c>
      <c r="K352" s="23" t="s">
        <v>1434</v>
      </c>
      <c r="L352" s="23" t="s">
        <v>144</v>
      </c>
      <c r="M352" s="23" t="s">
        <v>58</v>
      </c>
      <c r="N352" s="23" t="s">
        <v>32</v>
      </c>
      <c r="O352" s="23" t="s">
        <v>145</v>
      </c>
      <c r="P352" s="23" t="s">
        <v>34</v>
      </c>
      <c r="Q352" s="23" t="s">
        <v>34</v>
      </c>
      <c r="R352" s="23" t="s">
        <v>35</v>
      </c>
      <c r="S352" s="23" t="s">
        <v>1435</v>
      </c>
      <c r="T352" s="23" t="s">
        <v>37</v>
      </c>
    </row>
    <row r="353" s="17" customFormat="1" hidden="1" customHeight="1" spans="3:20">
      <c r="C353" s="23" t="s">
        <v>138</v>
      </c>
      <c r="D353" s="23" t="s">
        <v>156</v>
      </c>
      <c r="E353" s="23" t="s">
        <v>23</v>
      </c>
      <c r="F353" s="23" t="s">
        <v>24</v>
      </c>
      <c r="G353" s="23" t="s">
        <v>1429</v>
      </c>
      <c r="H353" s="23" t="s">
        <v>1405</v>
      </c>
      <c r="I353" s="26" t="s">
        <v>567</v>
      </c>
      <c r="J353" s="23" t="s">
        <v>1436</v>
      </c>
      <c r="K353" s="23" t="s">
        <v>1437</v>
      </c>
      <c r="L353" s="23" t="s">
        <v>144</v>
      </c>
      <c r="M353" s="23" t="s">
        <v>58</v>
      </c>
      <c r="N353" s="23" t="s">
        <v>32</v>
      </c>
      <c r="O353" s="23" t="s">
        <v>145</v>
      </c>
      <c r="P353" s="23" t="s">
        <v>34</v>
      </c>
      <c r="Q353" s="23" t="s">
        <v>34</v>
      </c>
      <c r="R353" s="23" t="s">
        <v>35</v>
      </c>
      <c r="S353" s="23" t="s">
        <v>1438</v>
      </c>
      <c r="T353" s="23" t="s">
        <v>37</v>
      </c>
    </row>
    <row r="354" s="17" customFormat="1" hidden="1" customHeight="1" spans="3:20">
      <c r="C354" s="23" t="s">
        <v>138</v>
      </c>
      <c r="D354" s="23" t="s">
        <v>139</v>
      </c>
      <c r="E354" s="23" t="s">
        <v>23</v>
      </c>
      <c r="F354" s="23" t="s">
        <v>24</v>
      </c>
      <c r="G354" s="23" t="s">
        <v>1439</v>
      </c>
      <c r="H354" s="23" t="s">
        <v>1405</v>
      </c>
      <c r="I354" s="26" t="s">
        <v>567</v>
      </c>
      <c r="J354" s="23" t="s">
        <v>1440</v>
      </c>
      <c r="K354" s="23" t="s">
        <v>1441</v>
      </c>
      <c r="L354" s="23" t="s">
        <v>1442</v>
      </c>
      <c r="M354" s="23" t="s">
        <v>58</v>
      </c>
      <c r="N354" s="23" t="s">
        <v>32</v>
      </c>
      <c r="O354" s="23" t="s">
        <v>145</v>
      </c>
      <c r="P354" s="23" t="s">
        <v>34</v>
      </c>
      <c r="Q354" s="23" t="s">
        <v>34</v>
      </c>
      <c r="R354" s="23" t="s">
        <v>35</v>
      </c>
      <c r="S354" s="23" t="s">
        <v>1443</v>
      </c>
      <c r="T354" s="23" t="s">
        <v>37</v>
      </c>
    </row>
    <row r="355" s="17" customFormat="1" hidden="1" customHeight="1" spans="3:20">
      <c r="C355" s="23" t="s">
        <v>138</v>
      </c>
      <c r="D355" s="23" t="s">
        <v>161</v>
      </c>
      <c r="E355" s="23" t="s">
        <v>23</v>
      </c>
      <c r="F355" s="23" t="s">
        <v>24</v>
      </c>
      <c r="G355" s="23" t="s">
        <v>1439</v>
      </c>
      <c r="H355" s="23" t="s">
        <v>1405</v>
      </c>
      <c r="I355" s="26" t="s">
        <v>567</v>
      </c>
      <c r="J355" s="23" t="s">
        <v>1444</v>
      </c>
      <c r="K355" s="23" t="s">
        <v>1445</v>
      </c>
      <c r="L355" s="23" t="s">
        <v>1442</v>
      </c>
      <c r="M355" s="23" t="s">
        <v>58</v>
      </c>
      <c r="N355" s="23" t="s">
        <v>32</v>
      </c>
      <c r="O355" s="23" t="s">
        <v>145</v>
      </c>
      <c r="P355" s="23" t="s">
        <v>34</v>
      </c>
      <c r="Q355" s="23" t="s">
        <v>34</v>
      </c>
      <c r="R355" s="23" t="s">
        <v>35</v>
      </c>
      <c r="S355" s="23" t="s">
        <v>1446</v>
      </c>
      <c r="T355" s="23" t="s">
        <v>37</v>
      </c>
    </row>
    <row r="356" s="17" customFormat="1" hidden="1" customHeight="1" spans="3:20">
      <c r="C356" s="23" t="s">
        <v>138</v>
      </c>
      <c r="D356" s="23" t="s">
        <v>156</v>
      </c>
      <c r="E356" s="23" t="s">
        <v>23</v>
      </c>
      <c r="F356" s="23" t="s">
        <v>24</v>
      </c>
      <c r="G356" s="23" t="s">
        <v>1439</v>
      </c>
      <c r="H356" s="23" t="s">
        <v>1405</v>
      </c>
      <c r="I356" s="26" t="s">
        <v>567</v>
      </c>
      <c r="J356" s="23" t="s">
        <v>1447</v>
      </c>
      <c r="K356" s="23" t="s">
        <v>1448</v>
      </c>
      <c r="L356" s="23" t="s">
        <v>1442</v>
      </c>
      <c r="M356" s="23" t="s">
        <v>58</v>
      </c>
      <c r="N356" s="23" t="s">
        <v>32</v>
      </c>
      <c r="O356" s="23" t="s">
        <v>145</v>
      </c>
      <c r="P356" s="23" t="s">
        <v>34</v>
      </c>
      <c r="Q356" s="23" t="s">
        <v>34</v>
      </c>
      <c r="R356" s="23" t="s">
        <v>35</v>
      </c>
      <c r="S356" s="23" t="s">
        <v>1449</v>
      </c>
      <c r="T356" s="23" t="s">
        <v>37</v>
      </c>
    </row>
    <row r="357" s="17" customFormat="1" hidden="1" customHeight="1" spans="3:20">
      <c r="C357" s="23" t="s">
        <v>138</v>
      </c>
      <c r="D357" s="23" t="s">
        <v>152</v>
      </c>
      <c r="E357" s="23" t="s">
        <v>23</v>
      </c>
      <c r="F357" s="23" t="s">
        <v>24</v>
      </c>
      <c r="G357" s="23" t="s">
        <v>1450</v>
      </c>
      <c r="H357" s="23" t="s">
        <v>1405</v>
      </c>
      <c r="I357" s="26" t="s">
        <v>567</v>
      </c>
      <c r="J357" s="23" t="s">
        <v>1451</v>
      </c>
      <c r="K357" s="23" t="s">
        <v>1452</v>
      </c>
      <c r="L357" s="23" t="s">
        <v>144</v>
      </c>
      <c r="M357" s="23" t="s">
        <v>58</v>
      </c>
      <c r="N357" s="23" t="s">
        <v>32</v>
      </c>
      <c r="O357" s="23" t="s">
        <v>145</v>
      </c>
      <c r="P357" s="23" t="s">
        <v>34</v>
      </c>
      <c r="Q357" s="23" t="s">
        <v>34</v>
      </c>
      <c r="R357" s="23" t="s">
        <v>35</v>
      </c>
      <c r="S357" s="23" t="s">
        <v>1453</v>
      </c>
      <c r="T357" s="23" t="s">
        <v>37</v>
      </c>
    </row>
    <row r="358" s="17" customFormat="1" hidden="1" customHeight="1" spans="3:20">
      <c r="C358" s="23" t="s">
        <v>138</v>
      </c>
      <c r="D358" s="23" t="s">
        <v>147</v>
      </c>
      <c r="E358" s="23" t="s">
        <v>23</v>
      </c>
      <c r="F358" s="23" t="s">
        <v>24</v>
      </c>
      <c r="G358" s="23" t="s">
        <v>1450</v>
      </c>
      <c r="H358" s="23" t="s">
        <v>1405</v>
      </c>
      <c r="I358" s="26" t="s">
        <v>567</v>
      </c>
      <c r="J358" s="23" t="s">
        <v>1454</v>
      </c>
      <c r="K358" s="23" t="s">
        <v>1455</v>
      </c>
      <c r="L358" s="23" t="s">
        <v>144</v>
      </c>
      <c r="M358" s="23" t="s">
        <v>58</v>
      </c>
      <c r="N358" s="23" t="s">
        <v>32</v>
      </c>
      <c r="O358" s="23" t="s">
        <v>145</v>
      </c>
      <c r="P358" s="23" t="s">
        <v>34</v>
      </c>
      <c r="Q358" s="23" t="s">
        <v>34</v>
      </c>
      <c r="R358" s="23" t="s">
        <v>35</v>
      </c>
      <c r="S358" s="23" t="s">
        <v>1456</v>
      </c>
      <c r="T358" s="23" t="s">
        <v>37</v>
      </c>
    </row>
    <row r="359" s="17" customFormat="1" hidden="1" customHeight="1" spans="3:20">
      <c r="C359" s="23" t="s">
        <v>138</v>
      </c>
      <c r="D359" s="23" t="s">
        <v>152</v>
      </c>
      <c r="E359" s="23" t="s">
        <v>23</v>
      </c>
      <c r="F359" s="23" t="s">
        <v>24</v>
      </c>
      <c r="G359" s="23" t="s">
        <v>1457</v>
      </c>
      <c r="H359" s="23" t="s">
        <v>1405</v>
      </c>
      <c r="I359" s="26" t="s">
        <v>567</v>
      </c>
      <c r="J359" s="23" t="s">
        <v>1458</v>
      </c>
      <c r="K359" s="23" t="s">
        <v>1459</v>
      </c>
      <c r="L359" s="23" t="s">
        <v>1442</v>
      </c>
      <c r="M359" s="23" t="s">
        <v>58</v>
      </c>
      <c r="N359" s="23" t="s">
        <v>32</v>
      </c>
      <c r="O359" s="23" t="s">
        <v>145</v>
      </c>
      <c r="P359" s="23" t="s">
        <v>34</v>
      </c>
      <c r="Q359" s="23" t="s">
        <v>34</v>
      </c>
      <c r="R359" s="23" t="s">
        <v>35</v>
      </c>
      <c r="S359" s="23" t="s">
        <v>1460</v>
      </c>
      <c r="T359" s="23" t="s">
        <v>37</v>
      </c>
    </row>
    <row r="360" s="17" customFormat="1" hidden="1" customHeight="1" spans="3:20">
      <c r="C360" s="23" t="s">
        <v>138</v>
      </c>
      <c r="D360" s="23" t="s">
        <v>147</v>
      </c>
      <c r="E360" s="23" t="s">
        <v>23</v>
      </c>
      <c r="F360" s="23" t="s">
        <v>24</v>
      </c>
      <c r="G360" s="23" t="s">
        <v>1457</v>
      </c>
      <c r="H360" s="23" t="s">
        <v>1405</v>
      </c>
      <c r="I360" s="26" t="s">
        <v>567</v>
      </c>
      <c r="J360" s="23" t="s">
        <v>1461</v>
      </c>
      <c r="K360" s="23" t="s">
        <v>1462</v>
      </c>
      <c r="L360" s="23" t="s">
        <v>1442</v>
      </c>
      <c r="M360" s="23" t="s">
        <v>58</v>
      </c>
      <c r="N360" s="23" t="s">
        <v>32</v>
      </c>
      <c r="O360" s="23" t="s">
        <v>145</v>
      </c>
      <c r="P360" s="23" t="s">
        <v>34</v>
      </c>
      <c r="Q360" s="23" t="s">
        <v>34</v>
      </c>
      <c r="R360" s="23" t="s">
        <v>35</v>
      </c>
      <c r="S360" s="23" t="s">
        <v>1463</v>
      </c>
      <c r="T360" s="23" t="s">
        <v>37</v>
      </c>
    </row>
    <row r="361" s="17" customFormat="1" customHeight="1" spans="1:41">
      <c r="A361" s="20">
        <v>738</v>
      </c>
      <c r="B361" s="20" t="s">
        <v>278</v>
      </c>
      <c r="C361" s="23" t="s">
        <v>138</v>
      </c>
      <c r="D361" s="23" t="s">
        <v>156</v>
      </c>
      <c r="E361" s="23" t="s">
        <v>23</v>
      </c>
      <c r="F361" s="23" t="s">
        <v>24</v>
      </c>
      <c r="G361" s="23" t="s">
        <v>1404</v>
      </c>
      <c r="H361" s="23" t="s">
        <v>1405</v>
      </c>
      <c r="I361" s="26" t="s">
        <v>567</v>
      </c>
      <c r="J361" s="23" t="s">
        <v>1464</v>
      </c>
      <c r="K361" s="23" t="s">
        <v>1465</v>
      </c>
      <c r="L361" s="23" t="s">
        <v>282</v>
      </c>
      <c r="M361" s="25" t="s">
        <v>31</v>
      </c>
      <c r="N361" s="23" t="s">
        <v>32</v>
      </c>
      <c r="O361" s="23" t="s">
        <v>145</v>
      </c>
      <c r="P361" s="23" t="s">
        <v>34</v>
      </c>
      <c r="Q361" s="27" t="str">
        <f>HYPERLINK("https://ovopark.oss-cn-hangzhou.aliyuncs.com/2022/06/06/image_1654520798746.jpg","查看图片")</f>
        <v>查看图片</v>
      </c>
      <c r="R361" s="23" t="s">
        <v>35</v>
      </c>
      <c r="S361" s="23" t="s">
        <v>1466</v>
      </c>
      <c r="T361" s="23" t="s">
        <v>37</v>
      </c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1"/>
      <c r="AI361" s="20"/>
      <c r="AJ361" s="20"/>
      <c r="AK361" s="20"/>
      <c r="AL361" s="20"/>
      <c r="AM361" s="20"/>
      <c r="AN361" s="20"/>
      <c r="AO361" s="20"/>
    </row>
    <row r="362" s="17" customFormat="1" customHeight="1" spans="1:41">
      <c r="A362" s="20">
        <v>738</v>
      </c>
      <c r="B362" s="20" t="s">
        <v>278</v>
      </c>
      <c r="C362" s="23" t="s">
        <v>291</v>
      </c>
      <c r="D362" s="23" t="s">
        <v>292</v>
      </c>
      <c r="E362" s="23" t="s">
        <v>23</v>
      </c>
      <c r="F362" s="23" t="s">
        <v>24</v>
      </c>
      <c r="G362" s="23" t="s">
        <v>1467</v>
      </c>
      <c r="H362" s="23" t="s">
        <v>1405</v>
      </c>
      <c r="I362" s="26" t="s">
        <v>567</v>
      </c>
      <c r="J362" s="23" t="s">
        <v>1468</v>
      </c>
      <c r="K362" s="23" t="s">
        <v>1469</v>
      </c>
      <c r="L362" s="23" t="s">
        <v>282</v>
      </c>
      <c r="M362" s="25" t="s">
        <v>31</v>
      </c>
      <c r="N362" s="23" t="s">
        <v>32</v>
      </c>
      <c r="O362" s="23" t="s">
        <v>145</v>
      </c>
      <c r="P362" s="27" t="str">
        <f>HYPERLINK("https://ovopark.oss-cn-hangzhou.aliyuncs.com/2fd057a884f60b3a76ad32408666d793.jpg?x-oss-process=image/resize,w_700,l_700","查看图片")</f>
        <v>查看图片</v>
      </c>
      <c r="Q362" s="27" t="str">
        <f>HYPERLINK("https://ovopark.oss-cn-hangzhou.aliyuncs.com/2022/06/06/image_1654520874846.jpg","查看图片")</f>
        <v>查看图片</v>
      </c>
      <c r="R362" s="23" t="s">
        <v>35</v>
      </c>
      <c r="S362" s="23" t="s">
        <v>1470</v>
      </c>
      <c r="T362" s="23" t="s">
        <v>37</v>
      </c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1"/>
      <c r="AI362" s="20"/>
      <c r="AJ362" s="20"/>
      <c r="AK362" s="20"/>
      <c r="AL362" s="20"/>
      <c r="AM362" s="20"/>
      <c r="AN362" s="20"/>
      <c r="AO362" s="20"/>
    </row>
    <row r="363" s="17" customFormat="1" customHeight="1" spans="1:41">
      <c r="A363" s="20">
        <v>738</v>
      </c>
      <c r="B363" s="20" t="s">
        <v>278</v>
      </c>
      <c r="C363" s="23" t="s">
        <v>138</v>
      </c>
      <c r="D363" s="23" t="s">
        <v>139</v>
      </c>
      <c r="E363" s="23" t="s">
        <v>23</v>
      </c>
      <c r="F363" s="23" t="s">
        <v>24</v>
      </c>
      <c r="G363" s="23" t="s">
        <v>1404</v>
      </c>
      <c r="H363" s="23" t="s">
        <v>1405</v>
      </c>
      <c r="I363" s="26" t="s">
        <v>567</v>
      </c>
      <c r="J363" s="23" t="s">
        <v>1471</v>
      </c>
      <c r="K363" s="23" t="s">
        <v>1472</v>
      </c>
      <c r="L363" s="23" t="s">
        <v>282</v>
      </c>
      <c r="M363" s="25" t="s">
        <v>31</v>
      </c>
      <c r="N363" s="23" t="s">
        <v>32</v>
      </c>
      <c r="O363" s="23" t="s">
        <v>145</v>
      </c>
      <c r="P363" s="23" t="s">
        <v>34</v>
      </c>
      <c r="Q363" s="27" t="str">
        <f>HYPERLINK("https://ovopark.oss-cn-hangzhou.aliyuncs.com/2022/06/06/image_1654520966532.jpg","查看图片")</f>
        <v>查看图片</v>
      </c>
      <c r="R363" s="23" t="s">
        <v>35</v>
      </c>
      <c r="S363" s="23" t="s">
        <v>1473</v>
      </c>
      <c r="T363" s="23" t="s">
        <v>37</v>
      </c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1"/>
      <c r="AI363" s="20"/>
      <c r="AJ363" s="20"/>
      <c r="AK363" s="20"/>
      <c r="AL363" s="20"/>
      <c r="AM363" s="20"/>
      <c r="AN363" s="20"/>
      <c r="AO363" s="20"/>
    </row>
    <row r="364" s="17" customFormat="1" hidden="1" customHeight="1" spans="3:20">
      <c r="C364" s="23" t="s">
        <v>291</v>
      </c>
      <c r="D364" s="23" t="s">
        <v>292</v>
      </c>
      <c r="E364" s="23" t="s">
        <v>23</v>
      </c>
      <c r="F364" s="23" t="s">
        <v>24</v>
      </c>
      <c r="G364" s="23" t="s">
        <v>1474</v>
      </c>
      <c r="H364" s="23" t="s">
        <v>1425</v>
      </c>
      <c r="I364" s="26" t="s">
        <v>1184</v>
      </c>
      <c r="J364" s="23" t="s">
        <v>1475</v>
      </c>
      <c r="K364" s="23" t="s">
        <v>1476</v>
      </c>
      <c r="L364" s="23" t="s">
        <v>1477</v>
      </c>
      <c r="M364" s="23" t="s">
        <v>58</v>
      </c>
      <c r="N364" s="23" t="s">
        <v>32</v>
      </c>
      <c r="O364" s="23" t="s">
        <v>145</v>
      </c>
      <c r="P364" s="23" t="s">
        <v>34</v>
      </c>
      <c r="Q364" s="27" t="str">
        <f>HYPERLINK("http://ovopark.oss-cn-hangzhou.aliyuncs.com/2222_430525074615777_image_1654403931069.jpg","查看图片")</f>
        <v>查看图片</v>
      </c>
      <c r="R364" s="23" t="s">
        <v>35</v>
      </c>
      <c r="S364" s="23" t="s">
        <v>1478</v>
      </c>
      <c r="T364" s="23" t="s">
        <v>37</v>
      </c>
    </row>
    <row r="365" s="17" customFormat="1" hidden="1" customHeight="1" spans="3:20">
      <c r="C365" s="23" t="s">
        <v>291</v>
      </c>
      <c r="D365" s="23" t="s">
        <v>292</v>
      </c>
      <c r="E365" s="23" t="s">
        <v>23</v>
      </c>
      <c r="F365" s="23" t="s">
        <v>24</v>
      </c>
      <c r="G365" s="23" t="s">
        <v>1479</v>
      </c>
      <c r="H365" s="23" t="s">
        <v>1425</v>
      </c>
      <c r="I365" s="26" t="s">
        <v>1184</v>
      </c>
      <c r="J365" s="23" t="s">
        <v>1480</v>
      </c>
      <c r="K365" s="23" t="s">
        <v>1481</v>
      </c>
      <c r="L365" s="23" t="s">
        <v>282</v>
      </c>
      <c r="M365" s="23" t="s">
        <v>58</v>
      </c>
      <c r="N365" s="23" t="s">
        <v>32</v>
      </c>
      <c r="O365" s="23" t="s">
        <v>145</v>
      </c>
      <c r="P365" s="27" t="str">
        <f>HYPERLINK("https://ovopark.oss-cn-hangzhou.aliyuncs.com/b18872bd7ead18fa2269f6fda43b6e6e.jpg?x-oss-process=image/resize,w_700,l_700","查看图片")</f>
        <v>查看图片</v>
      </c>
      <c r="Q365" s="27" t="str">
        <f>HYPERLINK("https://ovopark.oss-cn-hangzhou.aliyuncs.com/2022/06/06/image_1654520841405.jpg","查看图片")</f>
        <v>查看图片</v>
      </c>
      <c r="R365" s="23" t="s">
        <v>35</v>
      </c>
      <c r="S365" s="23" t="s">
        <v>1482</v>
      </c>
      <c r="T365" s="23" t="s">
        <v>37</v>
      </c>
    </row>
    <row r="366" s="17" customFormat="1" hidden="1" customHeight="1" spans="3:20">
      <c r="C366" s="23" t="s">
        <v>138</v>
      </c>
      <c r="D366" s="23" t="s">
        <v>257</v>
      </c>
      <c r="E366" s="23" t="s">
        <v>23</v>
      </c>
      <c r="F366" s="23" t="s">
        <v>24</v>
      </c>
      <c r="G366" s="23" t="s">
        <v>1483</v>
      </c>
      <c r="H366" s="23" t="s">
        <v>1425</v>
      </c>
      <c r="I366" s="26" t="s">
        <v>1184</v>
      </c>
      <c r="J366" s="23" t="s">
        <v>1484</v>
      </c>
      <c r="K366" s="23" t="s">
        <v>1485</v>
      </c>
      <c r="L366" s="23" t="s">
        <v>144</v>
      </c>
      <c r="M366" s="23" t="s">
        <v>58</v>
      </c>
      <c r="N366" s="23" t="s">
        <v>32</v>
      </c>
      <c r="O366" s="23" t="s">
        <v>145</v>
      </c>
      <c r="P366" s="23" t="s">
        <v>34</v>
      </c>
      <c r="Q366" s="23" t="s">
        <v>34</v>
      </c>
      <c r="R366" s="23" t="s">
        <v>35</v>
      </c>
      <c r="S366" s="23" t="s">
        <v>1486</v>
      </c>
      <c r="T366" s="23" t="s">
        <v>37</v>
      </c>
    </row>
    <row r="367" s="17" customFormat="1" hidden="1" customHeight="1" spans="3:20">
      <c r="C367" s="23" t="s">
        <v>291</v>
      </c>
      <c r="D367" s="23" t="s">
        <v>292</v>
      </c>
      <c r="E367" s="23" t="s">
        <v>23</v>
      </c>
      <c r="F367" s="23" t="s">
        <v>24</v>
      </c>
      <c r="G367" s="23" t="s">
        <v>1487</v>
      </c>
      <c r="H367" s="23" t="s">
        <v>1425</v>
      </c>
      <c r="I367" s="26" t="s">
        <v>1184</v>
      </c>
      <c r="J367" s="23" t="s">
        <v>1488</v>
      </c>
      <c r="K367" s="23" t="s">
        <v>1489</v>
      </c>
      <c r="L367" s="23" t="s">
        <v>1490</v>
      </c>
      <c r="M367" s="23" t="s">
        <v>58</v>
      </c>
      <c r="N367" s="23" t="s">
        <v>32</v>
      </c>
      <c r="O367" s="23" t="s">
        <v>145</v>
      </c>
      <c r="P367" s="27" t="str">
        <f>HYPERLINK("https://ovopark.oss-cn-hangzhou.aliyuncs.com/0baacc5847bcf5dd2d30d8a8495af746.jpg?x-oss-process=image/resize,w_700,l_700","查看图片")</f>
        <v>查看图片</v>
      </c>
      <c r="Q367" s="23" t="s">
        <v>34</v>
      </c>
      <c r="R367" s="23" t="s">
        <v>35</v>
      </c>
      <c r="S367" s="23" t="s">
        <v>1491</v>
      </c>
      <c r="T367" s="23" t="s">
        <v>37</v>
      </c>
    </row>
    <row r="368" s="17" customFormat="1" hidden="1" customHeight="1" spans="3:20">
      <c r="C368" s="23" t="s">
        <v>291</v>
      </c>
      <c r="D368" s="23" t="s">
        <v>292</v>
      </c>
      <c r="E368" s="23" t="s">
        <v>23</v>
      </c>
      <c r="F368" s="23" t="s">
        <v>24</v>
      </c>
      <c r="G368" s="23" t="s">
        <v>1492</v>
      </c>
      <c r="H368" s="23" t="s">
        <v>1425</v>
      </c>
      <c r="I368" s="26" t="s">
        <v>1184</v>
      </c>
      <c r="J368" s="23" t="s">
        <v>1493</v>
      </c>
      <c r="K368" s="23" t="s">
        <v>1494</v>
      </c>
      <c r="L368" s="23" t="s">
        <v>1100</v>
      </c>
      <c r="M368" s="23" t="s">
        <v>58</v>
      </c>
      <c r="N368" s="23" t="s">
        <v>32</v>
      </c>
      <c r="O368" s="23" t="s">
        <v>145</v>
      </c>
      <c r="P368" s="27" t="str">
        <f>HYPERLINK("https://ovopark.oss-cn-hangzhou.aliyuncs.com/6fa95b6e99cb243fc544026e7d551cbb.jpg?x-oss-process=image/resize,w_700,l_700","查看图片")</f>
        <v>查看图片</v>
      </c>
      <c r="Q368" s="23" t="s">
        <v>34</v>
      </c>
      <c r="R368" s="23" t="s">
        <v>35</v>
      </c>
      <c r="S368" s="23" t="s">
        <v>1495</v>
      </c>
      <c r="T368" s="23" t="s">
        <v>37</v>
      </c>
    </row>
    <row r="369" s="17" customFormat="1" hidden="1" customHeight="1" spans="3:20">
      <c r="C369" s="23" t="s">
        <v>138</v>
      </c>
      <c r="D369" s="23" t="s">
        <v>183</v>
      </c>
      <c r="E369" s="23" t="s">
        <v>23</v>
      </c>
      <c r="F369" s="23" t="s">
        <v>24</v>
      </c>
      <c r="G369" s="23" t="s">
        <v>1496</v>
      </c>
      <c r="H369" s="23" t="s">
        <v>1425</v>
      </c>
      <c r="I369" s="26" t="s">
        <v>1184</v>
      </c>
      <c r="J369" s="23" t="s">
        <v>1497</v>
      </c>
      <c r="K369" s="23" t="s">
        <v>1498</v>
      </c>
      <c r="L369" s="23" t="s">
        <v>272</v>
      </c>
      <c r="M369" s="23" t="s">
        <v>58</v>
      </c>
      <c r="N369" s="23" t="s">
        <v>32</v>
      </c>
      <c r="O369" s="23" t="s">
        <v>145</v>
      </c>
      <c r="P369" s="23" t="s">
        <v>34</v>
      </c>
      <c r="Q369" s="27" t="str">
        <f>HYPERLINK("http://ovopark.oss-cn-hangzhou.aliyuncs.com/2015_336724559509035_IMG_20220602_215554.jpg","查看图片")</f>
        <v>查看图片</v>
      </c>
      <c r="R369" s="23" t="s">
        <v>35</v>
      </c>
      <c r="S369" s="23" t="s">
        <v>1499</v>
      </c>
      <c r="T369" s="23" t="s">
        <v>37</v>
      </c>
    </row>
    <row r="370" s="17" customFormat="1" hidden="1" customHeight="1" spans="3:20">
      <c r="C370" s="23" t="s">
        <v>138</v>
      </c>
      <c r="D370" s="23" t="s">
        <v>179</v>
      </c>
      <c r="E370" s="23" t="s">
        <v>23</v>
      </c>
      <c r="F370" s="23" t="s">
        <v>24</v>
      </c>
      <c r="G370" s="23" t="s">
        <v>1496</v>
      </c>
      <c r="H370" s="23" t="s">
        <v>1425</v>
      </c>
      <c r="I370" s="26" t="s">
        <v>1184</v>
      </c>
      <c r="J370" s="23" t="s">
        <v>1500</v>
      </c>
      <c r="K370" s="23" t="s">
        <v>1501</v>
      </c>
      <c r="L370" s="23" t="s">
        <v>272</v>
      </c>
      <c r="M370" s="23" t="s">
        <v>58</v>
      </c>
      <c r="N370" s="23" t="s">
        <v>32</v>
      </c>
      <c r="O370" s="23" t="s">
        <v>145</v>
      </c>
      <c r="P370" s="23" t="s">
        <v>34</v>
      </c>
      <c r="Q370" s="23" t="s">
        <v>34</v>
      </c>
      <c r="R370" s="23" t="s">
        <v>35</v>
      </c>
      <c r="S370" s="23" t="s">
        <v>1502</v>
      </c>
      <c r="T370" s="23" t="s">
        <v>37</v>
      </c>
    </row>
    <row r="371" s="17" customFormat="1" hidden="1" customHeight="1" spans="3:20">
      <c r="C371" s="23" t="s">
        <v>138</v>
      </c>
      <c r="D371" s="23" t="s">
        <v>174</v>
      </c>
      <c r="E371" s="23" t="s">
        <v>23</v>
      </c>
      <c r="F371" s="23" t="s">
        <v>24</v>
      </c>
      <c r="G371" s="23" t="s">
        <v>1496</v>
      </c>
      <c r="H371" s="23" t="s">
        <v>1425</v>
      </c>
      <c r="I371" s="26" t="s">
        <v>1184</v>
      </c>
      <c r="J371" s="23" t="s">
        <v>1503</v>
      </c>
      <c r="K371" s="23" t="s">
        <v>1504</v>
      </c>
      <c r="L371" s="23" t="s">
        <v>272</v>
      </c>
      <c r="M371" s="23" t="s">
        <v>58</v>
      </c>
      <c r="N371" s="23" t="s">
        <v>32</v>
      </c>
      <c r="O371" s="23" t="s">
        <v>145</v>
      </c>
      <c r="P371" s="23" t="s">
        <v>34</v>
      </c>
      <c r="Q371" s="27" t="str">
        <f>HYPERLINK("http://ovopark.oss-cn-hangzhou.aliyuncs.com/2015_336864170213180_IMG_20220601_085249.jpg","查看图片")</f>
        <v>查看图片</v>
      </c>
      <c r="R371" s="23" t="s">
        <v>35</v>
      </c>
      <c r="S371" s="23" t="s">
        <v>1505</v>
      </c>
      <c r="T371" s="23" t="s">
        <v>37</v>
      </c>
    </row>
    <row r="372" s="17" customFormat="1" hidden="1" customHeight="1" spans="3:20">
      <c r="C372" s="23" t="s">
        <v>138</v>
      </c>
      <c r="D372" s="23" t="s">
        <v>183</v>
      </c>
      <c r="E372" s="23" t="s">
        <v>23</v>
      </c>
      <c r="F372" s="23" t="s">
        <v>24</v>
      </c>
      <c r="G372" s="23" t="s">
        <v>1506</v>
      </c>
      <c r="H372" s="23" t="s">
        <v>1425</v>
      </c>
      <c r="I372" s="26" t="s">
        <v>1184</v>
      </c>
      <c r="J372" s="23" t="s">
        <v>1507</v>
      </c>
      <c r="K372" s="23" t="s">
        <v>1508</v>
      </c>
      <c r="L372" s="23" t="s">
        <v>1477</v>
      </c>
      <c r="M372" s="23" t="s">
        <v>58</v>
      </c>
      <c r="N372" s="23" t="s">
        <v>32</v>
      </c>
      <c r="O372" s="23" t="s">
        <v>145</v>
      </c>
      <c r="P372" s="23" t="s">
        <v>34</v>
      </c>
      <c r="Q372" s="27" t="str">
        <f>HYPERLINK("http://ovopark.oss-cn-hangzhou.aliyuncs.com/2222_430510857713215_image_1654404008795.jpg","查看图片")</f>
        <v>查看图片</v>
      </c>
      <c r="R372" s="23" t="s">
        <v>35</v>
      </c>
      <c r="S372" s="23" t="s">
        <v>1509</v>
      </c>
      <c r="T372" s="23" t="s">
        <v>37</v>
      </c>
    </row>
    <row r="373" s="17" customFormat="1" hidden="1" customHeight="1" spans="3:20">
      <c r="C373" s="23" t="s">
        <v>138</v>
      </c>
      <c r="D373" s="23" t="s">
        <v>179</v>
      </c>
      <c r="E373" s="23" t="s">
        <v>23</v>
      </c>
      <c r="F373" s="23" t="s">
        <v>24</v>
      </c>
      <c r="G373" s="23" t="s">
        <v>1506</v>
      </c>
      <c r="H373" s="23" t="s">
        <v>1425</v>
      </c>
      <c r="I373" s="26" t="s">
        <v>1184</v>
      </c>
      <c r="J373" s="23" t="s">
        <v>1510</v>
      </c>
      <c r="K373" s="23" t="s">
        <v>1511</v>
      </c>
      <c r="L373" s="23" t="s">
        <v>1477</v>
      </c>
      <c r="M373" s="23" t="s">
        <v>58</v>
      </c>
      <c r="N373" s="23" t="s">
        <v>32</v>
      </c>
      <c r="O373" s="23" t="s">
        <v>145</v>
      </c>
      <c r="P373" s="23" t="s">
        <v>34</v>
      </c>
      <c r="Q373" s="27" t="str">
        <f>HYPERLINK("http://ovopark.oss-cn-hangzhou.aliyuncs.com/2222_430485206385608_image_1654403983462.jpg","查看图片")</f>
        <v>查看图片</v>
      </c>
      <c r="R373" s="23" t="s">
        <v>35</v>
      </c>
      <c r="S373" s="23" t="s">
        <v>1512</v>
      </c>
      <c r="T373" s="23" t="s">
        <v>37</v>
      </c>
    </row>
    <row r="374" s="17" customFormat="1" hidden="1" customHeight="1" spans="3:20">
      <c r="C374" s="23" t="s">
        <v>138</v>
      </c>
      <c r="D374" s="23" t="s">
        <v>174</v>
      </c>
      <c r="E374" s="23" t="s">
        <v>23</v>
      </c>
      <c r="F374" s="23" t="s">
        <v>24</v>
      </c>
      <c r="G374" s="23" t="s">
        <v>1506</v>
      </c>
      <c r="H374" s="23" t="s">
        <v>1425</v>
      </c>
      <c r="I374" s="26" t="s">
        <v>1184</v>
      </c>
      <c r="J374" s="23" t="s">
        <v>1513</v>
      </c>
      <c r="K374" s="23" t="s">
        <v>1514</v>
      </c>
      <c r="L374" s="23" t="s">
        <v>1477</v>
      </c>
      <c r="M374" s="23" t="s">
        <v>58</v>
      </c>
      <c r="N374" s="23" t="s">
        <v>32</v>
      </c>
      <c r="O374" s="23" t="s">
        <v>145</v>
      </c>
      <c r="P374" s="23" t="s">
        <v>34</v>
      </c>
      <c r="Q374" s="27" t="str">
        <f>HYPERLINK("http://ovopark.oss-cn-hangzhou.aliyuncs.com/2222_430457191644744_image_1654403955113.jpg","查看图片")</f>
        <v>查看图片</v>
      </c>
      <c r="R374" s="23" t="s">
        <v>35</v>
      </c>
      <c r="S374" s="23" t="s">
        <v>1515</v>
      </c>
      <c r="T374" s="23" t="s">
        <v>37</v>
      </c>
    </row>
    <row r="375" s="17" customFormat="1" hidden="1" customHeight="1" spans="3:20">
      <c r="C375" s="23" t="s">
        <v>138</v>
      </c>
      <c r="D375" s="23" t="s">
        <v>183</v>
      </c>
      <c r="E375" s="23" t="s">
        <v>23</v>
      </c>
      <c r="F375" s="23" t="s">
        <v>24</v>
      </c>
      <c r="G375" s="23" t="s">
        <v>1516</v>
      </c>
      <c r="H375" s="23" t="s">
        <v>1425</v>
      </c>
      <c r="I375" s="26" t="s">
        <v>1184</v>
      </c>
      <c r="J375" s="23" t="s">
        <v>1517</v>
      </c>
      <c r="K375" s="23" t="s">
        <v>1518</v>
      </c>
      <c r="L375" s="23" t="s">
        <v>144</v>
      </c>
      <c r="M375" s="23" t="s">
        <v>58</v>
      </c>
      <c r="N375" s="23" t="s">
        <v>32</v>
      </c>
      <c r="O375" s="23" t="s">
        <v>145</v>
      </c>
      <c r="P375" s="23" t="s">
        <v>34</v>
      </c>
      <c r="Q375" s="23" t="s">
        <v>34</v>
      </c>
      <c r="R375" s="23" t="s">
        <v>35</v>
      </c>
      <c r="S375" s="23" t="s">
        <v>1519</v>
      </c>
      <c r="T375" s="23" t="s">
        <v>37</v>
      </c>
    </row>
    <row r="376" s="17" customFormat="1" hidden="1" customHeight="1" spans="3:20">
      <c r="C376" s="23" t="s">
        <v>138</v>
      </c>
      <c r="D376" s="23" t="s">
        <v>179</v>
      </c>
      <c r="E376" s="23" t="s">
        <v>23</v>
      </c>
      <c r="F376" s="23" t="s">
        <v>24</v>
      </c>
      <c r="G376" s="23" t="s">
        <v>1516</v>
      </c>
      <c r="H376" s="23" t="s">
        <v>1425</v>
      </c>
      <c r="I376" s="26" t="s">
        <v>1184</v>
      </c>
      <c r="J376" s="23" t="s">
        <v>1520</v>
      </c>
      <c r="K376" s="23" t="s">
        <v>1521</v>
      </c>
      <c r="L376" s="23" t="s">
        <v>144</v>
      </c>
      <c r="M376" s="23" t="s">
        <v>58</v>
      </c>
      <c r="N376" s="23" t="s">
        <v>32</v>
      </c>
      <c r="O376" s="23" t="s">
        <v>145</v>
      </c>
      <c r="P376" s="23" t="s">
        <v>34</v>
      </c>
      <c r="Q376" s="23" t="s">
        <v>34</v>
      </c>
      <c r="R376" s="23" t="s">
        <v>35</v>
      </c>
      <c r="S376" s="23" t="s">
        <v>1522</v>
      </c>
      <c r="T376" s="23" t="s">
        <v>37</v>
      </c>
    </row>
    <row r="377" s="17" customFormat="1" hidden="1" customHeight="1" spans="3:20">
      <c r="C377" s="23" t="s">
        <v>138</v>
      </c>
      <c r="D377" s="23" t="s">
        <v>174</v>
      </c>
      <c r="E377" s="23" t="s">
        <v>23</v>
      </c>
      <c r="F377" s="23" t="s">
        <v>24</v>
      </c>
      <c r="G377" s="23" t="s">
        <v>1516</v>
      </c>
      <c r="H377" s="23" t="s">
        <v>1425</v>
      </c>
      <c r="I377" s="26" t="s">
        <v>1184</v>
      </c>
      <c r="J377" s="23" t="s">
        <v>1523</v>
      </c>
      <c r="K377" s="23" t="s">
        <v>1524</v>
      </c>
      <c r="L377" s="23" t="s">
        <v>144</v>
      </c>
      <c r="M377" s="23" t="s">
        <v>58</v>
      </c>
      <c r="N377" s="23" t="s">
        <v>32</v>
      </c>
      <c r="O377" s="23" t="s">
        <v>145</v>
      </c>
      <c r="P377" s="23" t="s">
        <v>34</v>
      </c>
      <c r="Q377" s="23" t="s">
        <v>34</v>
      </c>
      <c r="R377" s="23" t="s">
        <v>35</v>
      </c>
      <c r="S377" s="23" t="s">
        <v>1525</v>
      </c>
      <c r="T377" s="23" t="s">
        <v>37</v>
      </c>
    </row>
    <row r="378" s="17" customFormat="1" hidden="1" customHeight="1" spans="3:20">
      <c r="C378" s="23" t="s">
        <v>138</v>
      </c>
      <c r="D378" s="23" t="s">
        <v>183</v>
      </c>
      <c r="E378" s="23" t="s">
        <v>23</v>
      </c>
      <c r="F378" s="23" t="s">
        <v>24</v>
      </c>
      <c r="G378" s="23" t="s">
        <v>1526</v>
      </c>
      <c r="H378" s="23" t="s">
        <v>1425</v>
      </c>
      <c r="I378" s="26" t="s">
        <v>1184</v>
      </c>
      <c r="J378" s="23" t="s">
        <v>1527</v>
      </c>
      <c r="K378" s="23" t="s">
        <v>1528</v>
      </c>
      <c r="L378" s="23" t="s">
        <v>282</v>
      </c>
      <c r="M378" s="23" t="s">
        <v>58</v>
      </c>
      <c r="N378" s="23" t="s">
        <v>32</v>
      </c>
      <c r="O378" s="23" t="s">
        <v>145</v>
      </c>
      <c r="P378" s="23" t="s">
        <v>34</v>
      </c>
      <c r="Q378" s="27" t="str">
        <f>HYPERLINK("https://ovopark.oss-cn-hangzhou.aliyuncs.com/2022/06/06/image_1654521989963.jpg","查看图片")</f>
        <v>查看图片</v>
      </c>
      <c r="R378" s="23" t="s">
        <v>35</v>
      </c>
      <c r="S378" s="23" t="s">
        <v>1529</v>
      </c>
      <c r="T378" s="23" t="s">
        <v>37</v>
      </c>
    </row>
    <row r="379" s="17" customFormat="1" hidden="1" customHeight="1" spans="3:20">
      <c r="C379" s="23" t="s">
        <v>138</v>
      </c>
      <c r="D379" s="23" t="s">
        <v>179</v>
      </c>
      <c r="E379" s="23" t="s">
        <v>23</v>
      </c>
      <c r="F379" s="23" t="s">
        <v>24</v>
      </c>
      <c r="G379" s="23" t="s">
        <v>1526</v>
      </c>
      <c r="H379" s="23" t="s">
        <v>1425</v>
      </c>
      <c r="I379" s="26" t="s">
        <v>1184</v>
      </c>
      <c r="J379" s="23" t="s">
        <v>1530</v>
      </c>
      <c r="K379" s="23" t="s">
        <v>1531</v>
      </c>
      <c r="L379" s="23" t="s">
        <v>282</v>
      </c>
      <c r="M379" s="23" t="s">
        <v>58</v>
      </c>
      <c r="N379" s="23" t="s">
        <v>32</v>
      </c>
      <c r="O379" s="23" t="s">
        <v>145</v>
      </c>
      <c r="P379" s="23" t="s">
        <v>34</v>
      </c>
      <c r="Q379" s="27" t="str">
        <f>HYPERLINK("https://ovopark.oss-cn-hangzhou.aliyuncs.com/2022/06/06/image_1654522157516.jpg","查看图片")</f>
        <v>查看图片</v>
      </c>
      <c r="R379" s="23" t="s">
        <v>35</v>
      </c>
      <c r="S379" s="23" t="s">
        <v>1532</v>
      </c>
      <c r="T379" s="23" t="s">
        <v>37</v>
      </c>
    </row>
    <row r="380" s="17" customFormat="1" hidden="1" customHeight="1" spans="3:20">
      <c r="C380" s="23" t="s">
        <v>138</v>
      </c>
      <c r="D380" s="23" t="s">
        <v>183</v>
      </c>
      <c r="E380" s="23" t="s">
        <v>23</v>
      </c>
      <c r="F380" s="23" t="s">
        <v>24</v>
      </c>
      <c r="G380" s="23" t="s">
        <v>1533</v>
      </c>
      <c r="H380" s="23" t="s">
        <v>1425</v>
      </c>
      <c r="I380" s="26" t="s">
        <v>1184</v>
      </c>
      <c r="J380" s="23" t="s">
        <v>1534</v>
      </c>
      <c r="K380" s="23" t="s">
        <v>1535</v>
      </c>
      <c r="L380" s="23" t="s">
        <v>473</v>
      </c>
      <c r="M380" s="23" t="s">
        <v>58</v>
      </c>
      <c r="N380" s="23" t="s">
        <v>32</v>
      </c>
      <c r="O380" s="23" t="s">
        <v>145</v>
      </c>
      <c r="P380" s="23" t="s">
        <v>34</v>
      </c>
      <c r="Q380" s="27" t="str">
        <f>HYPERLINK("http://ovopark.oss-cn-hangzhou.aliyuncs.com/62_1654333682496_2223_1691629549011363_.jpg","查看图片")</f>
        <v>查看图片</v>
      </c>
      <c r="R380" s="23" t="s">
        <v>35</v>
      </c>
      <c r="S380" s="23" t="s">
        <v>1536</v>
      </c>
      <c r="T380" s="23" t="s">
        <v>37</v>
      </c>
    </row>
    <row r="381" s="17" customFormat="1" hidden="1" customHeight="1" spans="3:20">
      <c r="C381" s="23" t="s">
        <v>138</v>
      </c>
      <c r="D381" s="23" t="s">
        <v>179</v>
      </c>
      <c r="E381" s="23" t="s">
        <v>23</v>
      </c>
      <c r="F381" s="23" t="s">
        <v>24</v>
      </c>
      <c r="G381" s="23" t="s">
        <v>1533</v>
      </c>
      <c r="H381" s="23" t="s">
        <v>1425</v>
      </c>
      <c r="I381" s="26" t="s">
        <v>1184</v>
      </c>
      <c r="J381" s="23" t="s">
        <v>1537</v>
      </c>
      <c r="K381" s="23" t="s">
        <v>1538</v>
      </c>
      <c r="L381" s="23" t="s">
        <v>473</v>
      </c>
      <c r="M381" s="23" t="s">
        <v>58</v>
      </c>
      <c r="N381" s="23" t="s">
        <v>32</v>
      </c>
      <c r="O381" s="23" t="s">
        <v>145</v>
      </c>
      <c r="P381" s="23" t="s">
        <v>34</v>
      </c>
      <c r="Q381" s="27" t="str">
        <f>HYPERLINK("http://ovopark.oss-cn-hangzhou.aliyuncs.com/62_1654333629474_2223_1691576533736437_.jpg","查看图片")</f>
        <v>查看图片</v>
      </c>
      <c r="R381" s="23" t="s">
        <v>35</v>
      </c>
      <c r="S381" s="23" t="s">
        <v>1539</v>
      </c>
      <c r="T381" s="23" t="s">
        <v>37</v>
      </c>
    </row>
    <row r="382" s="17" customFormat="1" hidden="1" customHeight="1" spans="3:20">
      <c r="C382" s="23" t="s">
        <v>138</v>
      </c>
      <c r="D382" s="23" t="s">
        <v>174</v>
      </c>
      <c r="E382" s="23" t="s">
        <v>23</v>
      </c>
      <c r="F382" s="23" t="s">
        <v>24</v>
      </c>
      <c r="G382" s="23" t="s">
        <v>1533</v>
      </c>
      <c r="H382" s="23" t="s">
        <v>1425</v>
      </c>
      <c r="I382" s="26" t="s">
        <v>1184</v>
      </c>
      <c r="J382" s="23" t="s">
        <v>1540</v>
      </c>
      <c r="K382" s="23" t="s">
        <v>1541</v>
      </c>
      <c r="L382" s="23" t="s">
        <v>473</v>
      </c>
      <c r="M382" s="23" t="s">
        <v>58</v>
      </c>
      <c r="N382" s="23" t="s">
        <v>32</v>
      </c>
      <c r="O382" s="23" t="s">
        <v>145</v>
      </c>
      <c r="P382" s="23" t="s">
        <v>34</v>
      </c>
      <c r="Q382" s="27" t="str">
        <f>HYPERLINK("http://ovopark.oss-cn-hangzhou.aliyuncs.com/62_1654333575290_2223_1691522348543434_.jpg","查看图片")</f>
        <v>查看图片</v>
      </c>
      <c r="R382" s="23" t="s">
        <v>35</v>
      </c>
      <c r="S382" s="23" t="s">
        <v>1542</v>
      </c>
      <c r="T382" s="23" t="s">
        <v>37</v>
      </c>
    </row>
    <row r="383" s="17" customFormat="1" hidden="1" customHeight="1" spans="3:20">
      <c r="C383" s="23" t="s">
        <v>138</v>
      </c>
      <c r="D383" s="23" t="s">
        <v>183</v>
      </c>
      <c r="E383" s="23" t="s">
        <v>23</v>
      </c>
      <c r="F383" s="23" t="s">
        <v>24</v>
      </c>
      <c r="G383" s="23" t="s">
        <v>1543</v>
      </c>
      <c r="H383" s="23" t="s">
        <v>1425</v>
      </c>
      <c r="I383" s="26" t="s">
        <v>1184</v>
      </c>
      <c r="J383" s="23" t="s">
        <v>1544</v>
      </c>
      <c r="K383" s="23" t="s">
        <v>1545</v>
      </c>
      <c r="L383" s="23" t="s">
        <v>1490</v>
      </c>
      <c r="M383" s="23" t="s">
        <v>58</v>
      </c>
      <c r="N383" s="23" t="s">
        <v>32</v>
      </c>
      <c r="O383" s="23" t="s">
        <v>145</v>
      </c>
      <c r="P383" s="23" t="s">
        <v>34</v>
      </c>
      <c r="Q383" s="23" t="s">
        <v>34</v>
      </c>
      <c r="R383" s="23" t="s">
        <v>35</v>
      </c>
      <c r="S383" s="23" t="s">
        <v>1546</v>
      </c>
      <c r="T383" s="23" t="s">
        <v>37</v>
      </c>
    </row>
    <row r="384" s="17" customFormat="1" hidden="1" customHeight="1" spans="3:20">
      <c r="C384" s="23" t="s">
        <v>138</v>
      </c>
      <c r="D384" s="23" t="s">
        <v>179</v>
      </c>
      <c r="E384" s="23" t="s">
        <v>23</v>
      </c>
      <c r="F384" s="23" t="s">
        <v>24</v>
      </c>
      <c r="G384" s="23" t="s">
        <v>1543</v>
      </c>
      <c r="H384" s="23" t="s">
        <v>1425</v>
      </c>
      <c r="I384" s="26" t="s">
        <v>1184</v>
      </c>
      <c r="J384" s="23" t="s">
        <v>1547</v>
      </c>
      <c r="K384" s="23" t="s">
        <v>1548</v>
      </c>
      <c r="L384" s="23" t="s">
        <v>1490</v>
      </c>
      <c r="M384" s="23" t="s">
        <v>58</v>
      </c>
      <c r="N384" s="23" t="s">
        <v>32</v>
      </c>
      <c r="O384" s="23" t="s">
        <v>145</v>
      </c>
      <c r="P384" s="23" t="s">
        <v>34</v>
      </c>
      <c r="Q384" s="23" t="s">
        <v>34</v>
      </c>
      <c r="R384" s="23" t="s">
        <v>35</v>
      </c>
      <c r="S384" s="23" t="s">
        <v>1549</v>
      </c>
      <c r="T384" s="23" t="s">
        <v>37</v>
      </c>
    </row>
    <row r="385" s="17" customFormat="1" hidden="1" customHeight="1" spans="3:20">
      <c r="C385" s="23" t="s">
        <v>138</v>
      </c>
      <c r="D385" s="23" t="s">
        <v>174</v>
      </c>
      <c r="E385" s="23" t="s">
        <v>23</v>
      </c>
      <c r="F385" s="23" t="s">
        <v>24</v>
      </c>
      <c r="G385" s="23" t="s">
        <v>1543</v>
      </c>
      <c r="H385" s="23" t="s">
        <v>1425</v>
      </c>
      <c r="I385" s="26" t="s">
        <v>1184</v>
      </c>
      <c r="J385" s="23" t="s">
        <v>1550</v>
      </c>
      <c r="K385" s="23" t="s">
        <v>1551</v>
      </c>
      <c r="L385" s="23" t="s">
        <v>1490</v>
      </c>
      <c r="M385" s="23" t="s">
        <v>58</v>
      </c>
      <c r="N385" s="23" t="s">
        <v>32</v>
      </c>
      <c r="O385" s="23" t="s">
        <v>145</v>
      </c>
      <c r="P385" s="23" t="s">
        <v>34</v>
      </c>
      <c r="Q385" s="23" t="s">
        <v>34</v>
      </c>
      <c r="R385" s="23" t="s">
        <v>35</v>
      </c>
      <c r="S385" s="23" t="s">
        <v>1552</v>
      </c>
      <c r="T385" s="23" t="s">
        <v>37</v>
      </c>
    </row>
    <row r="386" s="17" customFormat="1" hidden="1" customHeight="1" spans="3:20">
      <c r="C386" s="23" t="s">
        <v>138</v>
      </c>
      <c r="D386" s="23" t="s">
        <v>183</v>
      </c>
      <c r="E386" s="23" t="s">
        <v>23</v>
      </c>
      <c r="F386" s="23" t="s">
        <v>24</v>
      </c>
      <c r="G386" s="23" t="s">
        <v>1553</v>
      </c>
      <c r="H386" s="23" t="s">
        <v>1425</v>
      </c>
      <c r="I386" s="26" t="s">
        <v>1184</v>
      </c>
      <c r="J386" s="23" t="s">
        <v>1554</v>
      </c>
      <c r="K386" s="23" t="s">
        <v>1555</v>
      </c>
      <c r="L386" s="23" t="s">
        <v>1442</v>
      </c>
      <c r="M386" s="23" t="s">
        <v>58</v>
      </c>
      <c r="N386" s="23" t="s">
        <v>32</v>
      </c>
      <c r="O386" s="23" t="s">
        <v>145</v>
      </c>
      <c r="P386" s="23" t="s">
        <v>34</v>
      </c>
      <c r="Q386" s="23" t="s">
        <v>34</v>
      </c>
      <c r="R386" s="23" t="s">
        <v>35</v>
      </c>
      <c r="S386" s="23" t="s">
        <v>1556</v>
      </c>
      <c r="T386" s="23" t="s">
        <v>37</v>
      </c>
    </row>
    <row r="387" s="17" customFormat="1" hidden="1" customHeight="1" spans="3:20">
      <c r="C387" s="23" t="s">
        <v>138</v>
      </c>
      <c r="D387" s="23" t="s">
        <v>179</v>
      </c>
      <c r="E387" s="23" t="s">
        <v>23</v>
      </c>
      <c r="F387" s="23" t="s">
        <v>24</v>
      </c>
      <c r="G387" s="23" t="s">
        <v>1553</v>
      </c>
      <c r="H387" s="23" t="s">
        <v>1425</v>
      </c>
      <c r="I387" s="26" t="s">
        <v>1184</v>
      </c>
      <c r="J387" s="23" t="s">
        <v>1557</v>
      </c>
      <c r="K387" s="23" t="s">
        <v>1558</v>
      </c>
      <c r="L387" s="23" t="s">
        <v>1442</v>
      </c>
      <c r="M387" s="23" t="s">
        <v>58</v>
      </c>
      <c r="N387" s="23" t="s">
        <v>32</v>
      </c>
      <c r="O387" s="23" t="s">
        <v>145</v>
      </c>
      <c r="P387" s="23" t="s">
        <v>34</v>
      </c>
      <c r="Q387" s="23" t="s">
        <v>34</v>
      </c>
      <c r="R387" s="23" t="s">
        <v>35</v>
      </c>
      <c r="S387" s="23" t="s">
        <v>1559</v>
      </c>
      <c r="T387" s="23" t="s">
        <v>37</v>
      </c>
    </row>
    <row r="388" s="17" customFormat="1" hidden="1" customHeight="1" spans="3:20">
      <c r="C388" s="23" t="s">
        <v>138</v>
      </c>
      <c r="D388" s="23" t="s">
        <v>174</v>
      </c>
      <c r="E388" s="23" t="s">
        <v>23</v>
      </c>
      <c r="F388" s="23" t="s">
        <v>24</v>
      </c>
      <c r="G388" s="23" t="s">
        <v>1553</v>
      </c>
      <c r="H388" s="23" t="s">
        <v>1425</v>
      </c>
      <c r="I388" s="26" t="s">
        <v>1184</v>
      </c>
      <c r="J388" s="23" t="s">
        <v>1560</v>
      </c>
      <c r="K388" s="23" t="s">
        <v>1561</v>
      </c>
      <c r="L388" s="23" t="s">
        <v>1442</v>
      </c>
      <c r="M388" s="23" t="s">
        <v>58</v>
      </c>
      <c r="N388" s="23" t="s">
        <v>32</v>
      </c>
      <c r="O388" s="23" t="s">
        <v>145</v>
      </c>
      <c r="P388" s="23" t="s">
        <v>34</v>
      </c>
      <c r="Q388" s="23" t="s">
        <v>34</v>
      </c>
      <c r="R388" s="23" t="s">
        <v>35</v>
      </c>
      <c r="S388" s="23" t="s">
        <v>1562</v>
      </c>
      <c r="T388" s="23" t="s">
        <v>37</v>
      </c>
    </row>
    <row r="389" s="17" customFormat="1" hidden="1" customHeight="1" spans="3:20">
      <c r="C389" s="23" t="s">
        <v>138</v>
      </c>
      <c r="D389" s="23" t="s">
        <v>183</v>
      </c>
      <c r="E389" s="23" t="s">
        <v>23</v>
      </c>
      <c r="F389" s="23" t="s">
        <v>24</v>
      </c>
      <c r="G389" s="23" t="s">
        <v>1563</v>
      </c>
      <c r="H389" s="23" t="s">
        <v>1425</v>
      </c>
      <c r="I389" s="26" t="s">
        <v>1184</v>
      </c>
      <c r="J389" s="23" t="s">
        <v>1564</v>
      </c>
      <c r="K389" s="23" t="s">
        <v>1565</v>
      </c>
      <c r="L389" s="23" t="s">
        <v>1100</v>
      </c>
      <c r="M389" s="23" t="s">
        <v>58</v>
      </c>
      <c r="N389" s="23" t="s">
        <v>32</v>
      </c>
      <c r="O389" s="23" t="s">
        <v>145</v>
      </c>
      <c r="P389" s="23" t="s">
        <v>34</v>
      </c>
      <c r="Q389" s="23" t="s">
        <v>34</v>
      </c>
      <c r="R389" s="23" t="s">
        <v>35</v>
      </c>
      <c r="S389" s="23" t="s">
        <v>1566</v>
      </c>
      <c r="T389" s="23" t="s">
        <v>37</v>
      </c>
    </row>
    <row r="390" s="17" customFormat="1" hidden="1" customHeight="1" spans="3:20">
      <c r="C390" s="23" t="s">
        <v>138</v>
      </c>
      <c r="D390" s="23" t="s">
        <v>179</v>
      </c>
      <c r="E390" s="23" t="s">
        <v>23</v>
      </c>
      <c r="F390" s="23" t="s">
        <v>24</v>
      </c>
      <c r="G390" s="23" t="s">
        <v>1563</v>
      </c>
      <c r="H390" s="23" t="s">
        <v>1425</v>
      </c>
      <c r="I390" s="26" t="s">
        <v>1184</v>
      </c>
      <c r="J390" s="23" t="s">
        <v>1567</v>
      </c>
      <c r="K390" s="23" t="s">
        <v>1568</v>
      </c>
      <c r="L390" s="23" t="s">
        <v>1100</v>
      </c>
      <c r="M390" s="23" t="s">
        <v>58</v>
      </c>
      <c r="N390" s="23" t="s">
        <v>32</v>
      </c>
      <c r="O390" s="23" t="s">
        <v>145</v>
      </c>
      <c r="P390" s="23" t="s">
        <v>34</v>
      </c>
      <c r="Q390" s="23" t="s">
        <v>34</v>
      </c>
      <c r="R390" s="23" t="s">
        <v>35</v>
      </c>
      <c r="S390" s="23" t="s">
        <v>1569</v>
      </c>
      <c r="T390" s="23" t="s">
        <v>37</v>
      </c>
    </row>
    <row r="391" s="17" customFormat="1" hidden="1" customHeight="1" spans="3:20">
      <c r="C391" s="23" t="s">
        <v>291</v>
      </c>
      <c r="D391" s="23" t="s">
        <v>292</v>
      </c>
      <c r="E391" s="23" t="s">
        <v>23</v>
      </c>
      <c r="F391" s="23" t="s">
        <v>24</v>
      </c>
      <c r="G391" s="23" t="s">
        <v>1570</v>
      </c>
      <c r="H391" s="23" t="s">
        <v>1425</v>
      </c>
      <c r="I391" s="26" t="s">
        <v>1184</v>
      </c>
      <c r="J391" s="23" t="s">
        <v>1571</v>
      </c>
      <c r="K391" s="23" t="s">
        <v>1572</v>
      </c>
      <c r="L391" s="23" t="s">
        <v>272</v>
      </c>
      <c r="M391" s="23" t="s">
        <v>58</v>
      </c>
      <c r="N391" s="23" t="s">
        <v>32</v>
      </c>
      <c r="O391" s="23" t="s">
        <v>145</v>
      </c>
      <c r="P391" s="27" t="str">
        <f>HYPERLINK("https://ovopark.oss-cn-hangzhou.aliyuncs.com/3354a8afa0b69080d17f32dfc33ec698.jpg?x-oss-process=image/resize,w_700,l_700","查看图片")</f>
        <v>查看图片</v>
      </c>
      <c r="Q391" s="27" t="str">
        <f>HYPERLINK("http://ovopark.oss-cn-hangzhou.aliyuncs.com/2015_336789535763713_IMG_20220602_215554.jpg","查看图片")</f>
        <v>查看图片</v>
      </c>
      <c r="R391" s="23" t="s">
        <v>35</v>
      </c>
      <c r="S391" s="23" t="s">
        <v>1573</v>
      </c>
      <c r="T391" s="23" t="s">
        <v>37</v>
      </c>
    </row>
    <row r="392" s="17" customFormat="1" hidden="1" customHeight="1" spans="3:20">
      <c r="C392" s="23" t="s">
        <v>291</v>
      </c>
      <c r="D392" s="23" t="s">
        <v>292</v>
      </c>
      <c r="E392" s="23" t="s">
        <v>23</v>
      </c>
      <c r="F392" s="23" t="s">
        <v>24</v>
      </c>
      <c r="G392" s="23" t="s">
        <v>1574</v>
      </c>
      <c r="H392" s="23" t="s">
        <v>1425</v>
      </c>
      <c r="I392" s="26" t="s">
        <v>1184</v>
      </c>
      <c r="J392" s="23" t="s">
        <v>1575</v>
      </c>
      <c r="K392" s="23" t="s">
        <v>1576</v>
      </c>
      <c r="L392" s="23" t="s">
        <v>1477</v>
      </c>
      <c r="M392" s="23" t="s">
        <v>58</v>
      </c>
      <c r="N392" s="23" t="s">
        <v>32</v>
      </c>
      <c r="O392" s="23" t="s">
        <v>145</v>
      </c>
      <c r="P392" s="27" t="str">
        <f>HYPERLINK("https://ovopark.oss-cn-hangzhou.aliyuncs.com/908e6086bd101d98a3784288bbceb3cd.jpg?x-oss-process=image/resize,w_700,l_700","查看图片")</f>
        <v>查看图片</v>
      </c>
      <c r="Q392" s="27" t="str">
        <f>HYPERLINK("http://ovopark.oss-cn-hangzhou.aliyuncs.com/2222_430433156756881_image_1654403931069.jpg","查看图片")</f>
        <v>查看图片</v>
      </c>
      <c r="R392" s="23" t="s">
        <v>35</v>
      </c>
      <c r="S392" s="23" t="s">
        <v>1577</v>
      </c>
      <c r="T392" s="23" t="s">
        <v>37</v>
      </c>
    </row>
    <row r="393" s="17" customFormat="1" hidden="1" customHeight="1" spans="3:20">
      <c r="C393" s="23" t="s">
        <v>291</v>
      </c>
      <c r="D393" s="23" t="s">
        <v>292</v>
      </c>
      <c r="E393" s="23" t="s">
        <v>23</v>
      </c>
      <c r="F393" s="23" t="s">
        <v>24</v>
      </c>
      <c r="G393" s="23" t="s">
        <v>1578</v>
      </c>
      <c r="H393" s="23" t="s">
        <v>1425</v>
      </c>
      <c r="I393" s="26" t="s">
        <v>1184</v>
      </c>
      <c r="J393" s="23" t="s">
        <v>1579</v>
      </c>
      <c r="K393" s="23" t="s">
        <v>1580</v>
      </c>
      <c r="L393" s="23" t="s">
        <v>1490</v>
      </c>
      <c r="M393" s="23" t="s">
        <v>58</v>
      </c>
      <c r="N393" s="23" t="s">
        <v>32</v>
      </c>
      <c r="O393" s="23" t="s">
        <v>145</v>
      </c>
      <c r="P393" s="27" t="str">
        <f>HYPERLINK("https://ovopark.oss-cn-hangzhou.aliyuncs.com/fdd955a34a6620a77f0b3efa3eae4df2.jpg?x-oss-process=image/resize,w_700,l_700","查看图片")</f>
        <v>查看图片</v>
      </c>
      <c r="Q393" s="23" t="s">
        <v>34</v>
      </c>
      <c r="R393" s="23" t="s">
        <v>35</v>
      </c>
      <c r="S393" s="23" t="s">
        <v>1581</v>
      </c>
      <c r="T393" s="23" t="s">
        <v>37</v>
      </c>
    </row>
    <row r="394" s="17" customFormat="1" hidden="1" customHeight="1" spans="3:20">
      <c r="C394" s="23" t="s">
        <v>291</v>
      </c>
      <c r="D394" s="23" t="s">
        <v>292</v>
      </c>
      <c r="E394" s="23" t="s">
        <v>23</v>
      </c>
      <c r="F394" s="23" t="s">
        <v>24</v>
      </c>
      <c r="G394" s="23" t="s">
        <v>1582</v>
      </c>
      <c r="H394" s="23" t="s">
        <v>1425</v>
      </c>
      <c r="I394" s="26" t="s">
        <v>1184</v>
      </c>
      <c r="J394" s="23" t="s">
        <v>1583</v>
      </c>
      <c r="K394" s="23" t="s">
        <v>1584</v>
      </c>
      <c r="L394" s="23" t="s">
        <v>1100</v>
      </c>
      <c r="M394" s="23" t="s">
        <v>58</v>
      </c>
      <c r="N394" s="23" t="s">
        <v>32</v>
      </c>
      <c r="O394" s="23" t="s">
        <v>145</v>
      </c>
      <c r="P394" s="27" t="str">
        <f>HYPERLINK("https://ovopark.oss-cn-hangzhou.aliyuncs.com/1074cddd391c32666064c31d3deddec2.jpg?x-oss-process=image/resize,w_700,l_700","查看图片")</f>
        <v>查看图片</v>
      </c>
      <c r="Q394" s="23" t="s">
        <v>34</v>
      </c>
      <c r="R394" s="23" t="s">
        <v>35</v>
      </c>
      <c r="S394" s="23" t="s">
        <v>1585</v>
      </c>
      <c r="T394" s="23" t="s">
        <v>37</v>
      </c>
    </row>
    <row r="395" s="17" customFormat="1" hidden="1" customHeight="1" spans="3:20">
      <c r="C395" s="23" t="s">
        <v>138</v>
      </c>
      <c r="D395" s="23" t="s">
        <v>257</v>
      </c>
      <c r="E395" s="23" t="s">
        <v>23</v>
      </c>
      <c r="F395" s="23" t="s">
        <v>24</v>
      </c>
      <c r="G395" s="23" t="s">
        <v>1586</v>
      </c>
      <c r="H395" s="23" t="s">
        <v>1425</v>
      </c>
      <c r="I395" s="26" t="s">
        <v>1184</v>
      </c>
      <c r="J395" s="23" t="s">
        <v>1587</v>
      </c>
      <c r="K395" s="23" t="s">
        <v>1588</v>
      </c>
      <c r="L395" s="23" t="s">
        <v>272</v>
      </c>
      <c r="M395" s="23" t="s">
        <v>58</v>
      </c>
      <c r="N395" s="23" t="s">
        <v>32</v>
      </c>
      <c r="O395" s="23" t="s">
        <v>145</v>
      </c>
      <c r="P395" s="23" t="s">
        <v>34</v>
      </c>
      <c r="Q395" s="27" t="str">
        <f>HYPERLINK("http://ovopark.oss-cn-hangzhou.aliyuncs.com/2015_336821254527770_image_1654070372365.jpg","查看图片")</f>
        <v>查看图片</v>
      </c>
      <c r="R395" s="23" t="s">
        <v>35</v>
      </c>
      <c r="S395" s="23" t="s">
        <v>1589</v>
      </c>
      <c r="T395" s="23" t="s">
        <v>37</v>
      </c>
    </row>
    <row r="396" s="17" customFormat="1" hidden="1" customHeight="1" spans="3:20">
      <c r="C396" s="23" t="s">
        <v>138</v>
      </c>
      <c r="D396" s="23" t="s">
        <v>257</v>
      </c>
      <c r="E396" s="23" t="s">
        <v>23</v>
      </c>
      <c r="F396" s="23" t="s">
        <v>24</v>
      </c>
      <c r="G396" s="23" t="s">
        <v>1590</v>
      </c>
      <c r="H396" s="23" t="s">
        <v>1425</v>
      </c>
      <c r="I396" s="26" t="s">
        <v>1184</v>
      </c>
      <c r="J396" s="23" t="s">
        <v>1591</v>
      </c>
      <c r="K396" s="23" t="s">
        <v>1592</v>
      </c>
      <c r="L396" s="23" t="s">
        <v>1477</v>
      </c>
      <c r="M396" s="23" t="s">
        <v>58</v>
      </c>
      <c r="N396" s="23" t="s">
        <v>32</v>
      </c>
      <c r="O396" s="23" t="s">
        <v>145</v>
      </c>
      <c r="P396" s="23" t="s">
        <v>34</v>
      </c>
      <c r="Q396" s="27" t="str">
        <f>HYPERLINK("http://ovopark.oss-cn-hangzhou.aliyuncs.com/2222_430414479578406_image_1654403907767.jpg","查看图片")</f>
        <v>查看图片</v>
      </c>
      <c r="R396" s="23" t="s">
        <v>35</v>
      </c>
      <c r="S396" s="23" t="s">
        <v>1593</v>
      </c>
      <c r="T396" s="23" t="s">
        <v>37</v>
      </c>
    </row>
    <row r="397" s="17" customFormat="1" hidden="1" customHeight="1" spans="3:20">
      <c r="C397" s="23" t="s">
        <v>138</v>
      </c>
      <c r="D397" s="23" t="s">
        <v>257</v>
      </c>
      <c r="E397" s="23" t="s">
        <v>23</v>
      </c>
      <c r="F397" s="23" t="s">
        <v>24</v>
      </c>
      <c r="G397" s="23" t="s">
        <v>1594</v>
      </c>
      <c r="H397" s="23" t="s">
        <v>1425</v>
      </c>
      <c r="I397" s="26" t="s">
        <v>1184</v>
      </c>
      <c r="J397" s="23" t="s">
        <v>1595</v>
      </c>
      <c r="K397" s="23" t="s">
        <v>1596</v>
      </c>
      <c r="L397" s="23" t="s">
        <v>473</v>
      </c>
      <c r="M397" s="23" t="s">
        <v>58</v>
      </c>
      <c r="N397" s="23" t="s">
        <v>32</v>
      </c>
      <c r="O397" s="23" t="s">
        <v>145</v>
      </c>
      <c r="P397" s="23" t="s">
        <v>34</v>
      </c>
      <c r="Q397" s="27" t="str">
        <f>HYPERLINK("http://ovopark.oss-cn-hangzhou.aliyuncs.com/62_1654333506995_2223_1691454030565353_.jpg","查看图片")</f>
        <v>查看图片</v>
      </c>
      <c r="R397" s="23" t="s">
        <v>35</v>
      </c>
      <c r="S397" s="23" t="s">
        <v>1597</v>
      </c>
      <c r="T397" s="23" t="s">
        <v>37</v>
      </c>
    </row>
    <row r="398" s="17" customFormat="1" hidden="1" customHeight="1" spans="3:20">
      <c r="C398" s="23" t="s">
        <v>138</v>
      </c>
      <c r="D398" s="23" t="s">
        <v>257</v>
      </c>
      <c r="E398" s="23" t="s">
        <v>23</v>
      </c>
      <c r="F398" s="23" t="s">
        <v>24</v>
      </c>
      <c r="G398" s="23" t="s">
        <v>1598</v>
      </c>
      <c r="H398" s="23" t="s">
        <v>1425</v>
      </c>
      <c r="I398" s="26" t="s">
        <v>1184</v>
      </c>
      <c r="J398" s="23" t="s">
        <v>1599</v>
      </c>
      <c r="K398" s="23" t="s">
        <v>1600</v>
      </c>
      <c r="L398" s="23" t="s">
        <v>1490</v>
      </c>
      <c r="M398" s="23" t="s">
        <v>58</v>
      </c>
      <c r="N398" s="23" t="s">
        <v>32</v>
      </c>
      <c r="O398" s="23" t="s">
        <v>145</v>
      </c>
      <c r="P398" s="23" t="s">
        <v>34</v>
      </c>
      <c r="Q398" s="23" t="s">
        <v>34</v>
      </c>
      <c r="R398" s="23" t="s">
        <v>35</v>
      </c>
      <c r="S398" s="23" t="s">
        <v>1601</v>
      </c>
      <c r="T398" s="23" t="s">
        <v>37</v>
      </c>
    </row>
    <row r="399" s="17" customFormat="1" hidden="1" customHeight="1" spans="3:20">
      <c r="C399" s="23" t="s">
        <v>138</v>
      </c>
      <c r="D399" s="23" t="s">
        <v>257</v>
      </c>
      <c r="E399" s="23" t="s">
        <v>23</v>
      </c>
      <c r="F399" s="23" t="s">
        <v>24</v>
      </c>
      <c r="G399" s="23" t="s">
        <v>1602</v>
      </c>
      <c r="H399" s="23" t="s">
        <v>1425</v>
      </c>
      <c r="I399" s="26" t="s">
        <v>1184</v>
      </c>
      <c r="J399" s="23" t="s">
        <v>1603</v>
      </c>
      <c r="K399" s="23" t="s">
        <v>1604</v>
      </c>
      <c r="L399" s="23" t="s">
        <v>1442</v>
      </c>
      <c r="M399" s="23" t="s">
        <v>58</v>
      </c>
      <c r="N399" s="23" t="s">
        <v>32</v>
      </c>
      <c r="O399" s="23" t="s">
        <v>145</v>
      </c>
      <c r="P399" s="23" t="s">
        <v>34</v>
      </c>
      <c r="Q399" s="23" t="s">
        <v>34</v>
      </c>
      <c r="R399" s="23" t="s">
        <v>35</v>
      </c>
      <c r="S399" s="23" t="s">
        <v>1605</v>
      </c>
      <c r="T399" s="23" t="s">
        <v>37</v>
      </c>
    </row>
    <row r="400" s="17" customFormat="1" hidden="1" customHeight="1" spans="3:20">
      <c r="C400" s="23" t="s">
        <v>138</v>
      </c>
      <c r="D400" s="23" t="s">
        <v>257</v>
      </c>
      <c r="E400" s="23" t="s">
        <v>23</v>
      </c>
      <c r="F400" s="23" t="s">
        <v>24</v>
      </c>
      <c r="G400" s="23" t="s">
        <v>1606</v>
      </c>
      <c r="H400" s="23" t="s">
        <v>1425</v>
      </c>
      <c r="I400" s="26" t="s">
        <v>1184</v>
      </c>
      <c r="J400" s="23" t="s">
        <v>1607</v>
      </c>
      <c r="K400" s="23" t="s">
        <v>1608</v>
      </c>
      <c r="L400" s="23" t="s">
        <v>1100</v>
      </c>
      <c r="M400" s="23" t="s">
        <v>58</v>
      </c>
      <c r="N400" s="23" t="s">
        <v>32</v>
      </c>
      <c r="O400" s="23" t="s">
        <v>145</v>
      </c>
      <c r="P400" s="23" t="s">
        <v>34</v>
      </c>
      <c r="Q400" s="23" t="s">
        <v>34</v>
      </c>
      <c r="R400" s="23" t="s">
        <v>35</v>
      </c>
      <c r="S400" s="23" t="s">
        <v>1609</v>
      </c>
      <c r="T400" s="23" t="s">
        <v>37</v>
      </c>
    </row>
    <row r="401" s="17" customFormat="1" customHeight="1" spans="1:41">
      <c r="A401" s="20">
        <v>738</v>
      </c>
      <c r="B401" s="20" t="s">
        <v>278</v>
      </c>
      <c r="C401" s="23" t="s">
        <v>138</v>
      </c>
      <c r="D401" s="23" t="s">
        <v>174</v>
      </c>
      <c r="E401" s="23" t="s">
        <v>23</v>
      </c>
      <c r="F401" s="23" t="s">
        <v>24</v>
      </c>
      <c r="G401" s="23" t="s">
        <v>1526</v>
      </c>
      <c r="H401" s="23" t="s">
        <v>1425</v>
      </c>
      <c r="I401" s="26" t="s">
        <v>1184</v>
      </c>
      <c r="J401" s="23" t="s">
        <v>1610</v>
      </c>
      <c r="K401" s="23" t="s">
        <v>1611</v>
      </c>
      <c r="L401" s="23" t="s">
        <v>282</v>
      </c>
      <c r="M401" s="25" t="s">
        <v>31</v>
      </c>
      <c r="N401" s="23" t="s">
        <v>32</v>
      </c>
      <c r="O401" s="23" t="s">
        <v>145</v>
      </c>
      <c r="P401" s="23" t="s">
        <v>34</v>
      </c>
      <c r="Q401" s="27" t="str">
        <f>HYPERLINK("https://ovopark.oss-cn-hangzhou.aliyuncs.com/2022/06/07/image_1654577413096.jpg","查看图片")</f>
        <v>查看图片</v>
      </c>
      <c r="R401" s="23" t="s">
        <v>35</v>
      </c>
      <c r="S401" s="23" t="s">
        <v>1612</v>
      </c>
      <c r="T401" s="23" t="s">
        <v>37</v>
      </c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1"/>
      <c r="AI401" s="20"/>
      <c r="AJ401" s="20"/>
      <c r="AK401" s="20"/>
      <c r="AL401" s="20"/>
      <c r="AM401" s="20"/>
      <c r="AN401" s="20"/>
      <c r="AO401" s="20"/>
    </row>
    <row r="402" s="17" customFormat="1" customHeight="1" spans="1:41">
      <c r="A402" s="20">
        <v>738</v>
      </c>
      <c r="B402" s="20" t="s">
        <v>278</v>
      </c>
      <c r="C402" s="23" t="s">
        <v>291</v>
      </c>
      <c r="D402" s="23" t="s">
        <v>292</v>
      </c>
      <c r="E402" s="23" t="s">
        <v>23</v>
      </c>
      <c r="F402" s="23" t="s">
        <v>24</v>
      </c>
      <c r="G402" s="23" t="s">
        <v>1613</v>
      </c>
      <c r="H402" s="23" t="s">
        <v>1425</v>
      </c>
      <c r="I402" s="26" t="s">
        <v>1184</v>
      </c>
      <c r="J402" s="23" t="s">
        <v>1614</v>
      </c>
      <c r="K402" s="23" t="s">
        <v>1615</v>
      </c>
      <c r="L402" s="23" t="s">
        <v>282</v>
      </c>
      <c r="M402" s="25" t="s">
        <v>31</v>
      </c>
      <c r="N402" s="23" t="s">
        <v>32</v>
      </c>
      <c r="O402" s="23" t="s">
        <v>145</v>
      </c>
      <c r="P402" s="27" t="str">
        <f>HYPERLINK("https://ovopark.oss-cn-hangzhou.aliyuncs.com/310bd89f7b2a58836a8f45795d239270.jpg?x-oss-process=image/resize,w_700,l_700","查看图片")</f>
        <v>查看图片</v>
      </c>
      <c r="Q402" s="27" t="str">
        <f>HYPERLINK("https://ovopark.oss-cn-hangzhou.aliyuncs.com/2022/06/07/image_1654577458271.jpg","查看图片")</f>
        <v>查看图片</v>
      </c>
      <c r="R402" s="23" t="s">
        <v>35</v>
      </c>
      <c r="S402" s="23" t="s">
        <v>1616</v>
      </c>
      <c r="T402" s="23" t="s">
        <v>37</v>
      </c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1"/>
      <c r="AI402" s="20"/>
      <c r="AJ402" s="20"/>
      <c r="AK402" s="20"/>
      <c r="AL402" s="20"/>
      <c r="AM402" s="20"/>
      <c r="AN402" s="20"/>
      <c r="AO402" s="20"/>
    </row>
    <row r="403" s="17" customFormat="1" customHeight="1" spans="1:41">
      <c r="A403" s="20">
        <v>738</v>
      </c>
      <c r="B403" s="20" t="s">
        <v>278</v>
      </c>
      <c r="C403" s="23" t="s">
        <v>138</v>
      </c>
      <c r="D403" s="23" t="s">
        <v>257</v>
      </c>
      <c r="E403" s="23" t="s">
        <v>23</v>
      </c>
      <c r="F403" s="23" t="s">
        <v>24</v>
      </c>
      <c r="G403" s="23" t="s">
        <v>1617</v>
      </c>
      <c r="H403" s="23" t="s">
        <v>1425</v>
      </c>
      <c r="I403" s="26" t="s">
        <v>1184</v>
      </c>
      <c r="J403" s="23" t="s">
        <v>1618</v>
      </c>
      <c r="K403" s="23" t="s">
        <v>1619</v>
      </c>
      <c r="L403" s="23" t="s">
        <v>282</v>
      </c>
      <c r="M403" s="25" t="s">
        <v>31</v>
      </c>
      <c r="N403" s="23" t="s">
        <v>32</v>
      </c>
      <c r="O403" s="23" t="s">
        <v>145</v>
      </c>
      <c r="P403" s="23" t="s">
        <v>34</v>
      </c>
      <c r="Q403" s="27" t="str">
        <f>HYPERLINK("https://ovopark.oss-cn-hangzhou.aliyuncs.com/2022/06/07/image_1654577723550.jpg","查看图片")</f>
        <v>查看图片</v>
      </c>
      <c r="R403" s="23" t="s">
        <v>35</v>
      </c>
      <c r="S403" s="23" t="s">
        <v>1620</v>
      </c>
      <c r="T403" s="23" t="s">
        <v>37</v>
      </c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1"/>
      <c r="AI403" s="20"/>
      <c r="AJ403" s="20"/>
      <c r="AK403" s="20"/>
      <c r="AL403" s="20"/>
      <c r="AM403" s="20"/>
      <c r="AN403" s="20"/>
      <c r="AO403" s="20"/>
    </row>
    <row r="404" s="17" customFormat="1" customHeight="1" spans="1:41">
      <c r="A404" s="20">
        <v>377</v>
      </c>
      <c r="B404" s="20" t="s">
        <v>1621</v>
      </c>
      <c r="C404" s="23" t="s">
        <v>138</v>
      </c>
      <c r="D404" s="23" t="s">
        <v>257</v>
      </c>
      <c r="E404" s="23" t="s">
        <v>23</v>
      </c>
      <c r="F404" s="23" t="s">
        <v>24</v>
      </c>
      <c r="G404" s="23" t="s">
        <v>1622</v>
      </c>
      <c r="H404" s="23" t="s">
        <v>1623</v>
      </c>
      <c r="I404" s="26" t="s">
        <v>1624</v>
      </c>
      <c r="J404" s="23" t="s">
        <v>1625</v>
      </c>
      <c r="K404" s="23" t="s">
        <v>1626</v>
      </c>
      <c r="L404" s="23" t="s">
        <v>1627</v>
      </c>
      <c r="M404" s="25" t="s">
        <v>31</v>
      </c>
      <c r="N404" s="23" t="s">
        <v>32</v>
      </c>
      <c r="O404" s="23" t="s">
        <v>1173</v>
      </c>
      <c r="P404" s="23" t="s">
        <v>34</v>
      </c>
      <c r="Q404" s="27" t="str">
        <f>HYPERLINK("https://ovopark.oss-cn-hangzhou.aliyuncs.com/2022/06/08/2_62_20220608164257_8541.jpeg","查看图片")</f>
        <v>查看图片</v>
      </c>
      <c r="R404" s="23" t="s">
        <v>35</v>
      </c>
      <c r="S404" s="23" t="s">
        <v>1628</v>
      </c>
      <c r="T404" s="23" t="s">
        <v>37</v>
      </c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1"/>
      <c r="AI404" s="20"/>
      <c r="AJ404" s="20"/>
      <c r="AK404" s="20"/>
      <c r="AL404" s="20"/>
      <c r="AM404" s="20"/>
      <c r="AN404" s="20"/>
      <c r="AO404" s="20"/>
    </row>
    <row r="405" s="17" customFormat="1" customHeight="1" spans="1:41">
      <c r="A405" s="20"/>
      <c r="B405" s="20" t="s">
        <v>1629</v>
      </c>
      <c r="C405" s="23" t="s">
        <v>138</v>
      </c>
      <c r="D405" s="23" t="s">
        <v>156</v>
      </c>
      <c r="E405" s="23" t="s">
        <v>23</v>
      </c>
      <c r="F405" s="23" t="s">
        <v>24</v>
      </c>
      <c r="G405" s="23" t="s">
        <v>1630</v>
      </c>
      <c r="H405" s="23" t="s">
        <v>1623</v>
      </c>
      <c r="I405" s="26" t="s">
        <v>1624</v>
      </c>
      <c r="J405" s="23" t="s">
        <v>1631</v>
      </c>
      <c r="K405" s="23" t="s">
        <v>1632</v>
      </c>
      <c r="L405" s="23" t="s">
        <v>1633</v>
      </c>
      <c r="M405" s="25" t="s">
        <v>31</v>
      </c>
      <c r="N405" s="23" t="s">
        <v>32</v>
      </c>
      <c r="O405" s="23" t="s">
        <v>726</v>
      </c>
      <c r="P405" s="23" t="s">
        <v>34</v>
      </c>
      <c r="Q405" s="23" t="s">
        <v>34</v>
      </c>
      <c r="R405" s="23" t="s">
        <v>35</v>
      </c>
      <c r="S405" s="23" t="s">
        <v>1634</v>
      </c>
      <c r="T405" s="23" t="s">
        <v>37</v>
      </c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1"/>
      <c r="AI405" s="20"/>
      <c r="AJ405" s="20"/>
      <c r="AK405" s="20"/>
      <c r="AL405" s="20"/>
      <c r="AM405" s="20"/>
      <c r="AN405" s="20"/>
      <c r="AO405" s="20"/>
    </row>
    <row r="406" s="17" customFormat="1" customHeight="1" spans="1:41">
      <c r="A406" s="20"/>
      <c r="B406" s="20" t="s">
        <v>1629</v>
      </c>
      <c r="C406" s="23" t="s">
        <v>138</v>
      </c>
      <c r="D406" s="23" t="s">
        <v>161</v>
      </c>
      <c r="E406" s="23" t="s">
        <v>23</v>
      </c>
      <c r="F406" s="23" t="s">
        <v>24</v>
      </c>
      <c r="G406" s="23" t="s">
        <v>1630</v>
      </c>
      <c r="H406" s="23" t="s">
        <v>1623</v>
      </c>
      <c r="I406" s="26" t="s">
        <v>1624</v>
      </c>
      <c r="J406" s="23" t="s">
        <v>1635</v>
      </c>
      <c r="K406" s="23" t="s">
        <v>1636</v>
      </c>
      <c r="L406" s="23" t="s">
        <v>1633</v>
      </c>
      <c r="M406" s="25" t="s">
        <v>31</v>
      </c>
      <c r="N406" s="23" t="s">
        <v>32</v>
      </c>
      <c r="O406" s="23" t="s">
        <v>726</v>
      </c>
      <c r="P406" s="23" t="s">
        <v>34</v>
      </c>
      <c r="Q406" s="23" t="s">
        <v>34</v>
      </c>
      <c r="R406" s="23" t="s">
        <v>35</v>
      </c>
      <c r="S406" s="23" t="s">
        <v>1637</v>
      </c>
      <c r="T406" s="23" t="s">
        <v>37</v>
      </c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1"/>
      <c r="AI406" s="20"/>
      <c r="AJ406" s="20"/>
      <c r="AK406" s="20"/>
      <c r="AL406" s="20"/>
      <c r="AM406" s="20"/>
      <c r="AN406" s="20"/>
      <c r="AO406" s="20"/>
    </row>
    <row r="407" s="17" customFormat="1" customHeight="1" spans="1:41">
      <c r="A407" s="20"/>
      <c r="B407" s="20" t="s">
        <v>1629</v>
      </c>
      <c r="C407" s="23" t="s">
        <v>138</v>
      </c>
      <c r="D407" s="23" t="s">
        <v>139</v>
      </c>
      <c r="E407" s="23" t="s">
        <v>23</v>
      </c>
      <c r="F407" s="23" t="s">
        <v>24</v>
      </c>
      <c r="G407" s="23" t="s">
        <v>1630</v>
      </c>
      <c r="H407" s="23" t="s">
        <v>1623</v>
      </c>
      <c r="I407" s="26" t="s">
        <v>1624</v>
      </c>
      <c r="J407" s="23" t="s">
        <v>1638</v>
      </c>
      <c r="K407" s="23" t="s">
        <v>1639</v>
      </c>
      <c r="L407" s="23" t="s">
        <v>1633</v>
      </c>
      <c r="M407" s="25" t="s">
        <v>31</v>
      </c>
      <c r="N407" s="23" t="s">
        <v>32</v>
      </c>
      <c r="O407" s="23" t="s">
        <v>726</v>
      </c>
      <c r="P407" s="23" t="s">
        <v>34</v>
      </c>
      <c r="Q407" s="23" t="s">
        <v>34</v>
      </c>
      <c r="R407" s="23" t="s">
        <v>35</v>
      </c>
      <c r="S407" s="23" t="s">
        <v>1640</v>
      </c>
      <c r="T407" s="23" t="s">
        <v>37</v>
      </c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1"/>
      <c r="AI407" s="20"/>
      <c r="AJ407" s="20"/>
      <c r="AK407" s="20"/>
      <c r="AL407" s="20"/>
      <c r="AM407" s="20"/>
      <c r="AN407" s="20"/>
      <c r="AO407" s="20"/>
    </row>
    <row r="408" s="17" customFormat="1" customHeight="1" spans="1:41">
      <c r="A408" s="20"/>
      <c r="B408" s="20" t="s">
        <v>1629</v>
      </c>
      <c r="C408" s="23" t="s">
        <v>798</v>
      </c>
      <c r="D408" s="23" t="s">
        <v>1641</v>
      </c>
      <c r="E408" s="23" t="s">
        <v>23</v>
      </c>
      <c r="F408" s="23" t="s">
        <v>800</v>
      </c>
      <c r="G408" s="23" t="s">
        <v>1642</v>
      </c>
      <c r="H408" s="23" t="s">
        <v>1405</v>
      </c>
      <c r="I408" s="26" t="s">
        <v>567</v>
      </c>
      <c r="J408" s="23" t="s">
        <v>1643</v>
      </c>
      <c r="K408" s="23" t="s">
        <v>463</v>
      </c>
      <c r="L408" s="23" t="s">
        <v>1633</v>
      </c>
      <c r="M408" s="25" t="s">
        <v>31</v>
      </c>
      <c r="N408" s="23" t="s">
        <v>1644</v>
      </c>
      <c r="O408" s="23" t="s">
        <v>1644</v>
      </c>
      <c r="P408" s="23" t="s">
        <v>34</v>
      </c>
      <c r="Q408" s="23" t="s">
        <v>34</v>
      </c>
      <c r="R408" s="23" t="s">
        <v>60</v>
      </c>
      <c r="S408" s="23" t="s">
        <v>1645</v>
      </c>
      <c r="T408" s="23" t="s">
        <v>37</v>
      </c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1"/>
      <c r="AI408" s="20"/>
      <c r="AJ408" s="20"/>
      <c r="AK408" s="20"/>
      <c r="AL408" s="20"/>
      <c r="AM408" s="20"/>
      <c r="AN408" s="20"/>
      <c r="AO408" s="20"/>
    </row>
    <row r="409" s="17" customFormat="1" customHeight="1" spans="1:41">
      <c r="A409" s="20"/>
      <c r="B409" s="20" t="s">
        <v>1629</v>
      </c>
      <c r="C409" s="23" t="s">
        <v>833</v>
      </c>
      <c r="D409" s="23" t="s">
        <v>84</v>
      </c>
      <c r="E409" s="23" t="s">
        <v>23</v>
      </c>
      <c r="F409" s="23" t="s">
        <v>800</v>
      </c>
      <c r="G409" s="23" t="s">
        <v>1642</v>
      </c>
      <c r="H409" s="23" t="s">
        <v>1405</v>
      </c>
      <c r="I409" s="26" t="s">
        <v>567</v>
      </c>
      <c r="J409" s="23" t="s">
        <v>1646</v>
      </c>
      <c r="K409" s="23" t="s">
        <v>463</v>
      </c>
      <c r="L409" s="23" t="s">
        <v>1633</v>
      </c>
      <c r="M409" s="25" t="s">
        <v>31</v>
      </c>
      <c r="N409" s="23" t="s">
        <v>1644</v>
      </c>
      <c r="O409" s="23" t="s">
        <v>1644</v>
      </c>
      <c r="P409" s="23" t="s">
        <v>34</v>
      </c>
      <c r="Q409" s="23" t="s">
        <v>34</v>
      </c>
      <c r="R409" s="23" t="s">
        <v>60</v>
      </c>
      <c r="S409" s="23" t="s">
        <v>1647</v>
      </c>
      <c r="T409" s="23" t="s">
        <v>37</v>
      </c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1"/>
      <c r="AI409" s="20"/>
      <c r="AJ409" s="20"/>
      <c r="AK409" s="20"/>
      <c r="AL409" s="20"/>
      <c r="AM409" s="20"/>
      <c r="AN409" s="20"/>
      <c r="AO409" s="20"/>
    </row>
    <row r="410" s="17" customFormat="1" customHeight="1" spans="1:41">
      <c r="A410" s="20">
        <v>103198</v>
      </c>
      <c r="B410" s="20" t="s">
        <v>323</v>
      </c>
      <c r="C410" s="23" t="s">
        <v>21</v>
      </c>
      <c r="D410" s="23" t="s">
        <v>22</v>
      </c>
      <c r="E410" s="23" t="s">
        <v>23</v>
      </c>
      <c r="F410" s="23" t="s">
        <v>24</v>
      </c>
      <c r="G410" s="23" t="s">
        <v>1648</v>
      </c>
      <c r="H410" s="23" t="s">
        <v>567</v>
      </c>
      <c r="I410" s="26" t="s">
        <v>568</v>
      </c>
      <c r="J410" s="23" t="s">
        <v>1649</v>
      </c>
      <c r="K410" s="23" t="s">
        <v>1650</v>
      </c>
      <c r="L410" s="23" t="s">
        <v>327</v>
      </c>
      <c r="M410" s="25" t="s">
        <v>31</v>
      </c>
      <c r="N410" s="23" t="s">
        <v>32</v>
      </c>
      <c r="O410" s="23" t="s">
        <v>197</v>
      </c>
      <c r="P410" s="23" t="s">
        <v>34</v>
      </c>
      <c r="Q410" s="27" t="str">
        <f>HYPERLINK("http://ovopark.oss-cn-hangzhou.aliyuncs.com/62_1654652556361_5710_276244820596128_.jpg","查看图片")</f>
        <v>查看图片</v>
      </c>
      <c r="R410" s="23" t="s">
        <v>35</v>
      </c>
      <c r="S410" s="23" t="s">
        <v>1651</v>
      </c>
      <c r="T410" s="23" t="s">
        <v>37</v>
      </c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1"/>
      <c r="AI410" s="20"/>
      <c r="AJ410" s="20"/>
      <c r="AK410" s="20"/>
      <c r="AL410" s="20"/>
      <c r="AM410" s="20"/>
      <c r="AN410" s="20"/>
      <c r="AO410" s="20"/>
    </row>
    <row r="411" s="17" customFormat="1" customHeight="1" spans="1:41">
      <c r="A411" s="20">
        <v>727</v>
      </c>
      <c r="B411" s="20" t="s">
        <v>397</v>
      </c>
      <c r="C411" s="23" t="s">
        <v>138</v>
      </c>
      <c r="D411" s="23" t="s">
        <v>257</v>
      </c>
      <c r="E411" s="23" t="s">
        <v>23</v>
      </c>
      <c r="F411" s="23" t="s">
        <v>24</v>
      </c>
      <c r="G411" s="23" t="s">
        <v>1652</v>
      </c>
      <c r="H411" s="23" t="s">
        <v>1623</v>
      </c>
      <c r="I411" s="26" t="s">
        <v>1624</v>
      </c>
      <c r="J411" s="23" t="s">
        <v>1653</v>
      </c>
      <c r="K411" s="23" t="s">
        <v>1654</v>
      </c>
      <c r="L411" s="23" t="s">
        <v>401</v>
      </c>
      <c r="M411" s="25" t="s">
        <v>31</v>
      </c>
      <c r="N411" s="23" t="s">
        <v>32</v>
      </c>
      <c r="O411" s="23" t="s">
        <v>197</v>
      </c>
      <c r="P411" s="23" t="s">
        <v>34</v>
      </c>
      <c r="Q411" s="27" t="str">
        <f>HYPERLINK("http://ovopark.oss-cn-hangzhou.aliyuncs.com/62_1654574477641_2202_33647267764711_.jpg","查看图片")</f>
        <v>查看图片</v>
      </c>
      <c r="R411" s="23" t="s">
        <v>35</v>
      </c>
      <c r="S411" s="23" t="s">
        <v>1655</v>
      </c>
      <c r="T411" s="23" t="s">
        <v>37</v>
      </c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1"/>
      <c r="AI411" s="20"/>
      <c r="AJ411" s="20"/>
      <c r="AK411" s="20"/>
      <c r="AL411" s="20"/>
      <c r="AM411" s="20"/>
      <c r="AN411" s="20"/>
      <c r="AO411" s="20"/>
    </row>
    <row r="412" s="17" customFormat="1" hidden="1" customHeight="1" spans="3:20">
      <c r="C412" s="23" t="s">
        <v>21</v>
      </c>
      <c r="D412" s="23" t="s">
        <v>22</v>
      </c>
      <c r="E412" s="23" t="s">
        <v>23</v>
      </c>
      <c r="F412" s="23" t="s">
        <v>24</v>
      </c>
      <c r="G412" s="23" t="s">
        <v>1656</v>
      </c>
      <c r="H412" s="23" t="s">
        <v>567</v>
      </c>
      <c r="I412" s="26" t="s">
        <v>568</v>
      </c>
      <c r="J412" s="23" t="s">
        <v>1657</v>
      </c>
      <c r="K412" s="23" t="s">
        <v>1658</v>
      </c>
      <c r="L412" s="23" t="s">
        <v>493</v>
      </c>
      <c r="M412" s="23" t="s">
        <v>58</v>
      </c>
      <c r="N412" s="23" t="s">
        <v>32</v>
      </c>
      <c r="O412" s="23" t="s">
        <v>197</v>
      </c>
      <c r="P412" s="23" t="s">
        <v>34</v>
      </c>
      <c r="Q412" s="27" t="str">
        <f>HYPERLINK("http://ovopark.oss-cn-hangzhou.aliyuncs.com/5716_28544867104336_image_1654578476766.jpg","查看图片")</f>
        <v>查看图片</v>
      </c>
      <c r="R412" s="23" t="s">
        <v>35</v>
      </c>
      <c r="S412" s="23" t="s">
        <v>1659</v>
      </c>
      <c r="T412" s="23" t="s">
        <v>37</v>
      </c>
    </row>
    <row r="413" s="17" customFormat="1" hidden="1" customHeight="1" spans="3:20">
      <c r="C413" s="23" t="s">
        <v>21</v>
      </c>
      <c r="D413" s="23" t="s">
        <v>22</v>
      </c>
      <c r="E413" s="23" t="s">
        <v>23</v>
      </c>
      <c r="F413" s="23" t="s">
        <v>24</v>
      </c>
      <c r="G413" s="23" t="s">
        <v>1660</v>
      </c>
      <c r="H413" s="23" t="s">
        <v>567</v>
      </c>
      <c r="I413" s="26" t="s">
        <v>568</v>
      </c>
      <c r="J413" s="23" t="s">
        <v>1661</v>
      </c>
      <c r="K413" s="23" t="s">
        <v>1662</v>
      </c>
      <c r="L413" s="23" t="s">
        <v>244</v>
      </c>
      <c r="M413" s="23" t="s">
        <v>58</v>
      </c>
      <c r="N413" s="23" t="s">
        <v>32</v>
      </c>
      <c r="O413" s="23" t="s">
        <v>197</v>
      </c>
      <c r="P413" s="23" t="s">
        <v>34</v>
      </c>
      <c r="Q413" s="27" t="str">
        <f>HYPERLINK("https://ovopark.oss-cn-hangzhou.aliyuncs.com/2022/06/07/image_1654603970964.jpg","查看图片")</f>
        <v>查看图片</v>
      </c>
      <c r="R413" s="23" t="s">
        <v>35</v>
      </c>
      <c r="S413" s="23" t="s">
        <v>1663</v>
      </c>
      <c r="T413" s="23" t="s">
        <v>37</v>
      </c>
    </row>
    <row r="414" s="17" customFormat="1" hidden="1" customHeight="1" spans="3:20">
      <c r="C414" s="23" t="s">
        <v>21</v>
      </c>
      <c r="D414" s="23" t="s">
        <v>22</v>
      </c>
      <c r="E414" s="23" t="s">
        <v>23</v>
      </c>
      <c r="F414" s="23" t="s">
        <v>24</v>
      </c>
      <c r="G414" s="23" t="s">
        <v>1664</v>
      </c>
      <c r="H414" s="23" t="s">
        <v>567</v>
      </c>
      <c r="I414" s="26" t="s">
        <v>568</v>
      </c>
      <c r="J414" s="23" t="s">
        <v>1665</v>
      </c>
      <c r="K414" s="23" t="s">
        <v>1666</v>
      </c>
      <c r="L414" s="23" t="s">
        <v>401</v>
      </c>
      <c r="M414" s="23" t="s">
        <v>58</v>
      </c>
      <c r="N414" s="23" t="s">
        <v>32</v>
      </c>
      <c r="O414" s="23" t="s">
        <v>197</v>
      </c>
      <c r="P414" s="23" t="s">
        <v>34</v>
      </c>
      <c r="Q414" s="27" t="str">
        <f>HYPERLINK("http://ovopark.oss-cn-hangzhou.aliyuncs.com/62_1654574422873_2202_33592474917794_.jpg","查看图片")</f>
        <v>查看图片</v>
      </c>
      <c r="R414" s="23" t="s">
        <v>35</v>
      </c>
      <c r="S414" s="23" t="s">
        <v>1667</v>
      </c>
      <c r="T414" s="23" t="s">
        <v>37</v>
      </c>
    </row>
    <row r="415" s="17" customFormat="1" hidden="1" customHeight="1" spans="3:20">
      <c r="C415" s="23" t="s">
        <v>138</v>
      </c>
      <c r="D415" s="23" t="s">
        <v>183</v>
      </c>
      <c r="E415" s="23" t="s">
        <v>23</v>
      </c>
      <c r="F415" s="23" t="s">
        <v>24</v>
      </c>
      <c r="G415" s="23" t="s">
        <v>1668</v>
      </c>
      <c r="H415" s="23" t="s">
        <v>567</v>
      </c>
      <c r="I415" s="26" t="s">
        <v>568</v>
      </c>
      <c r="J415" s="23" t="s">
        <v>1669</v>
      </c>
      <c r="K415" s="23" t="s">
        <v>1670</v>
      </c>
      <c r="L415" s="23" t="s">
        <v>244</v>
      </c>
      <c r="M415" s="23" t="s">
        <v>58</v>
      </c>
      <c r="N415" s="23" t="s">
        <v>32</v>
      </c>
      <c r="O415" s="23" t="s">
        <v>197</v>
      </c>
      <c r="P415" s="23" t="s">
        <v>34</v>
      </c>
      <c r="Q415" s="27" t="str">
        <f>HYPERLINK("https://ovopark.oss-cn-hangzhou.aliyuncs.com/2022/06/07/image_1654603943610.jpg","查看图片")</f>
        <v>查看图片</v>
      </c>
      <c r="R415" s="23" t="s">
        <v>35</v>
      </c>
      <c r="S415" s="23" t="s">
        <v>1671</v>
      </c>
      <c r="T415" s="23" t="s">
        <v>37</v>
      </c>
    </row>
    <row r="416" s="17" customFormat="1" hidden="1" customHeight="1" spans="3:20">
      <c r="C416" s="23" t="s">
        <v>138</v>
      </c>
      <c r="D416" s="23" t="s">
        <v>179</v>
      </c>
      <c r="E416" s="23" t="s">
        <v>23</v>
      </c>
      <c r="F416" s="23" t="s">
        <v>24</v>
      </c>
      <c r="G416" s="23" t="s">
        <v>1668</v>
      </c>
      <c r="H416" s="23" t="s">
        <v>567</v>
      </c>
      <c r="I416" s="26" t="s">
        <v>568</v>
      </c>
      <c r="J416" s="23" t="s">
        <v>1672</v>
      </c>
      <c r="K416" s="23" t="s">
        <v>1673</v>
      </c>
      <c r="L416" s="23" t="s">
        <v>244</v>
      </c>
      <c r="M416" s="23" t="s">
        <v>58</v>
      </c>
      <c r="N416" s="23" t="s">
        <v>32</v>
      </c>
      <c r="O416" s="23" t="s">
        <v>197</v>
      </c>
      <c r="P416" s="23" t="s">
        <v>34</v>
      </c>
      <c r="Q416" s="27" t="str">
        <f>HYPERLINK("https://ovopark.oss-cn-hangzhou.aliyuncs.com/2022/06/07/image_1654604026310.jpg","查看图片")</f>
        <v>查看图片</v>
      </c>
      <c r="R416" s="23" t="s">
        <v>35</v>
      </c>
      <c r="S416" s="23" t="s">
        <v>1674</v>
      </c>
      <c r="T416" s="23" t="s">
        <v>37</v>
      </c>
    </row>
    <row r="417" s="17" customFormat="1" hidden="1" customHeight="1" spans="3:20">
      <c r="C417" s="23" t="s">
        <v>138</v>
      </c>
      <c r="D417" s="23" t="s">
        <v>174</v>
      </c>
      <c r="E417" s="23" t="s">
        <v>23</v>
      </c>
      <c r="F417" s="23" t="s">
        <v>24</v>
      </c>
      <c r="G417" s="23" t="s">
        <v>1668</v>
      </c>
      <c r="H417" s="23" t="s">
        <v>567</v>
      </c>
      <c r="I417" s="26" t="s">
        <v>568</v>
      </c>
      <c r="J417" s="23" t="s">
        <v>1675</v>
      </c>
      <c r="K417" s="23" t="s">
        <v>1676</v>
      </c>
      <c r="L417" s="23" t="s">
        <v>244</v>
      </c>
      <c r="M417" s="23" t="s">
        <v>58</v>
      </c>
      <c r="N417" s="23" t="s">
        <v>32</v>
      </c>
      <c r="O417" s="23" t="s">
        <v>197</v>
      </c>
      <c r="P417" s="23" t="s">
        <v>34</v>
      </c>
      <c r="Q417" s="27" t="str">
        <f>HYPERLINK("https://ovopark.oss-cn-hangzhou.aliyuncs.com/2022/06/07/image_1654604124015.jpg","查看图片")</f>
        <v>查看图片</v>
      </c>
      <c r="R417" s="23" t="s">
        <v>35</v>
      </c>
      <c r="S417" s="23" t="s">
        <v>1677</v>
      </c>
      <c r="T417" s="23" t="s">
        <v>37</v>
      </c>
    </row>
    <row r="418" s="17" customFormat="1" hidden="1" customHeight="1" spans="3:20">
      <c r="C418" s="23" t="s">
        <v>138</v>
      </c>
      <c r="D418" s="23" t="s">
        <v>183</v>
      </c>
      <c r="E418" s="23" t="s">
        <v>23</v>
      </c>
      <c r="F418" s="23" t="s">
        <v>24</v>
      </c>
      <c r="G418" s="23" t="s">
        <v>1678</v>
      </c>
      <c r="H418" s="23" t="s">
        <v>567</v>
      </c>
      <c r="I418" s="26" t="s">
        <v>568</v>
      </c>
      <c r="J418" s="23" t="s">
        <v>1679</v>
      </c>
      <c r="K418" s="23" t="s">
        <v>1680</v>
      </c>
      <c r="L418" s="23" t="s">
        <v>493</v>
      </c>
      <c r="M418" s="23" t="s">
        <v>58</v>
      </c>
      <c r="N418" s="23" t="s">
        <v>32</v>
      </c>
      <c r="O418" s="23" t="s">
        <v>197</v>
      </c>
      <c r="P418" s="23" t="s">
        <v>34</v>
      </c>
      <c r="Q418" s="27" t="str">
        <f>HYPERLINK("http://ovopark.oss-cn-hangzhou.aliyuncs.com/5716_28420359254120_image_1654578413155.jpg","查看图片")</f>
        <v>查看图片</v>
      </c>
      <c r="R418" s="23" t="s">
        <v>35</v>
      </c>
      <c r="S418" s="23" t="s">
        <v>1681</v>
      </c>
      <c r="T418" s="23" t="s">
        <v>37</v>
      </c>
    </row>
    <row r="419" s="17" customFormat="1" hidden="1" customHeight="1" spans="3:20">
      <c r="C419" s="23" t="s">
        <v>138</v>
      </c>
      <c r="D419" s="23" t="s">
        <v>179</v>
      </c>
      <c r="E419" s="23" t="s">
        <v>23</v>
      </c>
      <c r="F419" s="23" t="s">
        <v>24</v>
      </c>
      <c r="G419" s="23" t="s">
        <v>1678</v>
      </c>
      <c r="H419" s="23" t="s">
        <v>567</v>
      </c>
      <c r="I419" s="26" t="s">
        <v>568</v>
      </c>
      <c r="J419" s="23" t="s">
        <v>1682</v>
      </c>
      <c r="K419" s="23" t="s">
        <v>1683</v>
      </c>
      <c r="L419" s="23" t="s">
        <v>493</v>
      </c>
      <c r="M419" s="23" t="s">
        <v>58</v>
      </c>
      <c r="N419" s="23" t="s">
        <v>32</v>
      </c>
      <c r="O419" s="23" t="s">
        <v>197</v>
      </c>
      <c r="P419" s="23" t="s">
        <v>34</v>
      </c>
      <c r="Q419" s="27" t="str">
        <f>HYPERLINK("http://ovopark.oss-cn-hangzhou.aliyuncs.com/5716_28070450799523_image_1654578063126.jpg","查看图片")</f>
        <v>查看图片</v>
      </c>
      <c r="R419" s="23" t="s">
        <v>35</v>
      </c>
      <c r="S419" s="23" t="s">
        <v>1684</v>
      </c>
      <c r="T419" s="23" t="s">
        <v>37</v>
      </c>
    </row>
    <row r="420" s="17" customFormat="1" hidden="1" customHeight="1" spans="3:20">
      <c r="C420" s="23" t="s">
        <v>138</v>
      </c>
      <c r="D420" s="23" t="s">
        <v>174</v>
      </c>
      <c r="E420" s="23" t="s">
        <v>23</v>
      </c>
      <c r="F420" s="23" t="s">
        <v>24</v>
      </c>
      <c r="G420" s="23" t="s">
        <v>1678</v>
      </c>
      <c r="H420" s="23" t="s">
        <v>567</v>
      </c>
      <c r="I420" s="26" t="s">
        <v>568</v>
      </c>
      <c r="J420" s="23" t="s">
        <v>1685</v>
      </c>
      <c r="K420" s="23" t="s">
        <v>1686</v>
      </c>
      <c r="L420" s="23" t="s">
        <v>493</v>
      </c>
      <c r="M420" s="23" t="s">
        <v>58</v>
      </c>
      <c r="N420" s="23" t="s">
        <v>32</v>
      </c>
      <c r="O420" s="23" t="s">
        <v>197</v>
      </c>
      <c r="P420" s="23" t="s">
        <v>34</v>
      </c>
      <c r="Q420" s="27" t="str">
        <f>HYPERLINK("http://ovopark.oss-cn-hangzhou.aliyuncs.com/5716_27953283181497_image_1654577946315.jpg","查看图片")</f>
        <v>查看图片</v>
      </c>
      <c r="R420" s="23" t="s">
        <v>35</v>
      </c>
      <c r="S420" s="23" t="s">
        <v>1687</v>
      </c>
      <c r="T420" s="23" t="s">
        <v>37</v>
      </c>
    </row>
    <row r="421" s="17" customFormat="1" hidden="1" customHeight="1" spans="3:20">
      <c r="C421" s="23" t="s">
        <v>138</v>
      </c>
      <c r="D421" s="23" t="s">
        <v>183</v>
      </c>
      <c r="E421" s="23" t="s">
        <v>23</v>
      </c>
      <c r="F421" s="23" t="s">
        <v>24</v>
      </c>
      <c r="G421" s="23" t="s">
        <v>1688</v>
      </c>
      <c r="H421" s="23" t="s">
        <v>567</v>
      </c>
      <c r="I421" s="26" t="s">
        <v>568</v>
      </c>
      <c r="J421" s="23" t="s">
        <v>1689</v>
      </c>
      <c r="K421" s="23" t="s">
        <v>1690</v>
      </c>
      <c r="L421" s="23" t="s">
        <v>401</v>
      </c>
      <c r="M421" s="23" t="s">
        <v>58</v>
      </c>
      <c r="N421" s="23" t="s">
        <v>32</v>
      </c>
      <c r="O421" s="23" t="s">
        <v>197</v>
      </c>
      <c r="P421" s="23" t="s">
        <v>34</v>
      </c>
      <c r="Q421" s="27" t="str">
        <f>HYPERLINK("http://ovopark.oss-cn-hangzhou.aliyuncs.com/62_1654574401302_2202_33570910200073_.jpg","查看图片")</f>
        <v>查看图片</v>
      </c>
      <c r="R421" s="23" t="s">
        <v>35</v>
      </c>
      <c r="S421" s="23" t="s">
        <v>1691</v>
      </c>
      <c r="T421" s="23" t="s">
        <v>37</v>
      </c>
    </row>
    <row r="422" s="17" customFormat="1" hidden="1" customHeight="1" spans="3:20">
      <c r="C422" s="23" t="s">
        <v>138</v>
      </c>
      <c r="D422" s="23" t="s">
        <v>179</v>
      </c>
      <c r="E422" s="23" t="s">
        <v>23</v>
      </c>
      <c r="F422" s="23" t="s">
        <v>24</v>
      </c>
      <c r="G422" s="23" t="s">
        <v>1688</v>
      </c>
      <c r="H422" s="23" t="s">
        <v>567</v>
      </c>
      <c r="I422" s="26" t="s">
        <v>568</v>
      </c>
      <c r="J422" s="23" t="s">
        <v>1692</v>
      </c>
      <c r="K422" s="23" t="s">
        <v>1693</v>
      </c>
      <c r="L422" s="23" t="s">
        <v>401</v>
      </c>
      <c r="M422" s="23" t="s">
        <v>58</v>
      </c>
      <c r="N422" s="23" t="s">
        <v>32</v>
      </c>
      <c r="O422" s="23" t="s">
        <v>197</v>
      </c>
      <c r="P422" s="23" t="s">
        <v>34</v>
      </c>
      <c r="Q422" s="27" t="str">
        <f>HYPERLINK("http://ovopark.oss-cn-hangzhou.aliyuncs.com/62_1654574378213_2202_33547855250329_.jpg","查看图片")</f>
        <v>查看图片</v>
      </c>
      <c r="R422" s="23" t="s">
        <v>35</v>
      </c>
      <c r="S422" s="23" t="s">
        <v>1694</v>
      </c>
      <c r="T422" s="23" t="s">
        <v>37</v>
      </c>
    </row>
    <row r="423" s="17" customFormat="1" hidden="1" customHeight="1" spans="3:20">
      <c r="C423" s="23" t="s">
        <v>138</v>
      </c>
      <c r="D423" s="23" t="s">
        <v>174</v>
      </c>
      <c r="E423" s="23" t="s">
        <v>23</v>
      </c>
      <c r="F423" s="23" t="s">
        <v>24</v>
      </c>
      <c r="G423" s="23" t="s">
        <v>1688</v>
      </c>
      <c r="H423" s="23" t="s">
        <v>567</v>
      </c>
      <c r="I423" s="26" t="s">
        <v>568</v>
      </c>
      <c r="J423" s="23" t="s">
        <v>1695</v>
      </c>
      <c r="K423" s="23" t="s">
        <v>1696</v>
      </c>
      <c r="L423" s="23" t="s">
        <v>401</v>
      </c>
      <c r="M423" s="23" t="s">
        <v>58</v>
      </c>
      <c r="N423" s="23" t="s">
        <v>32</v>
      </c>
      <c r="O423" s="23" t="s">
        <v>197</v>
      </c>
      <c r="P423" s="23" t="s">
        <v>34</v>
      </c>
      <c r="Q423" s="27" t="str">
        <f>HYPERLINK("http://ovopark.oss-cn-hangzhou.aliyuncs.com/62_1654574450461_2202_33620112355756_.jpg","查看图片")</f>
        <v>查看图片</v>
      </c>
      <c r="R423" s="23" t="s">
        <v>35</v>
      </c>
      <c r="S423" s="23" t="s">
        <v>1697</v>
      </c>
      <c r="T423" s="23" t="s">
        <v>37</v>
      </c>
    </row>
    <row r="424" s="17" customFormat="1" customHeight="1" spans="1:41">
      <c r="A424" s="20">
        <v>103198</v>
      </c>
      <c r="B424" s="20" t="s">
        <v>323</v>
      </c>
      <c r="C424" s="23" t="s">
        <v>138</v>
      </c>
      <c r="D424" s="23" t="s">
        <v>174</v>
      </c>
      <c r="E424" s="23" t="s">
        <v>23</v>
      </c>
      <c r="F424" s="23" t="s">
        <v>24</v>
      </c>
      <c r="G424" s="23" t="s">
        <v>1698</v>
      </c>
      <c r="H424" s="23" t="s">
        <v>567</v>
      </c>
      <c r="I424" s="26" t="s">
        <v>568</v>
      </c>
      <c r="J424" s="23" t="s">
        <v>1699</v>
      </c>
      <c r="K424" s="23" t="s">
        <v>1700</v>
      </c>
      <c r="L424" s="23" t="s">
        <v>327</v>
      </c>
      <c r="M424" s="25" t="s">
        <v>31</v>
      </c>
      <c r="N424" s="23" t="s">
        <v>32</v>
      </c>
      <c r="O424" s="23" t="s">
        <v>197</v>
      </c>
      <c r="P424" s="23" t="s">
        <v>34</v>
      </c>
      <c r="Q424" s="27" t="str">
        <f>HYPERLINK("http://ovopark.oss-cn-hangzhou.aliyuncs.com/62_1654651026095_5710_274787497861163_.jpg","查看图片")</f>
        <v>查看图片</v>
      </c>
      <c r="R424" s="23" t="s">
        <v>35</v>
      </c>
      <c r="S424" s="23" t="s">
        <v>1701</v>
      </c>
      <c r="T424" s="23" t="s">
        <v>37</v>
      </c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1"/>
      <c r="AI424" s="20"/>
      <c r="AJ424" s="20"/>
      <c r="AK424" s="20"/>
      <c r="AL424" s="20"/>
      <c r="AM424" s="20"/>
      <c r="AN424" s="20"/>
      <c r="AO424" s="20"/>
    </row>
    <row r="425" s="17" customFormat="1" customHeight="1" spans="1:41">
      <c r="A425" s="20">
        <v>103198</v>
      </c>
      <c r="B425" s="20" t="s">
        <v>323</v>
      </c>
      <c r="C425" s="23" t="s">
        <v>138</v>
      </c>
      <c r="D425" s="23" t="s">
        <v>179</v>
      </c>
      <c r="E425" s="23" t="s">
        <v>23</v>
      </c>
      <c r="F425" s="23" t="s">
        <v>24</v>
      </c>
      <c r="G425" s="23" t="s">
        <v>1698</v>
      </c>
      <c r="H425" s="23" t="s">
        <v>567</v>
      </c>
      <c r="I425" s="26" t="s">
        <v>568</v>
      </c>
      <c r="J425" s="23" t="s">
        <v>1702</v>
      </c>
      <c r="K425" s="23" t="s">
        <v>1703</v>
      </c>
      <c r="L425" s="23" t="s">
        <v>327</v>
      </c>
      <c r="M425" s="25" t="s">
        <v>31</v>
      </c>
      <c r="N425" s="23" t="s">
        <v>32</v>
      </c>
      <c r="O425" s="23" t="s">
        <v>197</v>
      </c>
      <c r="P425" s="23" t="s">
        <v>34</v>
      </c>
      <c r="Q425" s="27" t="str">
        <f>HYPERLINK("http://ovopark.oss-cn-hangzhou.aliyuncs.com/62_1654651138707_5710_274900119461641_.jpg","查看图片")</f>
        <v>查看图片</v>
      </c>
      <c r="R425" s="23" t="s">
        <v>35</v>
      </c>
      <c r="S425" s="23" t="s">
        <v>1704</v>
      </c>
      <c r="T425" s="23" t="s">
        <v>37</v>
      </c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1"/>
      <c r="AI425" s="20"/>
      <c r="AJ425" s="20"/>
      <c r="AK425" s="20"/>
      <c r="AL425" s="20"/>
      <c r="AM425" s="20"/>
      <c r="AN425" s="20"/>
      <c r="AO425" s="20"/>
    </row>
    <row r="426" s="17" customFormat="1" customHeight="1" spans="1:41">
      <c r="A426" s="20">
        <v>103198</v>
      </c>
      <c r="B426" s="20" t="s">
        <v>323</v>
      </c>
      <c r="C426" s="23" t="s">
        <v>138</v>
      </c>
      <c r="D426" s="23" t="s">
        <v>183</v>
      </c>
      <c r="E426" s="23" t="s">
        <v>23</v>
      </c>
      <c r="F426" s="23" t="s">
        <v>24</v>
      </c>
      <c r="G426" s="23" t="s">
        <v>1698</v>
      </c>
      <c r="H426" s="23" t="s">
        <v>567</v>
      </c>
      <c r="I426" s="26" t="s">
        <v>568</v>
      </c>
      <c r="J426" s="23" t="s">
        <v>1705</v>
      </c>
      <c r="K426" s="23" t="s">
        <v>1706</v>
      </c>
      <c r="L426" s="23" t="s">
        <v>327</v>
      </c>
      <c r="M426" s="25" t="s">
        <v>31</v>
      </c>
      <c r="N426" s="23" t="s">
        <v>32</v>
      </c>
      <c r="O426" s="23" t="s">
        <v>197</v>
      </c>
      <c r="P426" s="23" t="s">
        <v>34</v>
      </c>
      <c r="Q426" s="27" t="str">
        <f>HYPERLINK("http://ovopark.oss-cn-hangzhou.aliyuncs.com/62_1654651189885_5710_274951260620216_.jpg","查看图片")</f>
        <v>查看图片</v>
      </c>
      <c r="R426" s="23" t="s">
        <v>35</v>
      </c>
      <c r="S426" s="23" t="s">
        <v>1707</v>
      </c>
      <c r="T426" s="23" t="s">
        <v>37</v>
      </c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1"/>
      <c r="AI426" s="20"/>
      <c r="AJ426" s="20"/>
      <c r="AK426" s="20"/>
      <c r="AL426" s="20"/>
      <c r="AM426" s="20"/>
      <c r="AN426" s="20"/>
      <c r="AO426" s="20"/>
    </row>
    <row r="427" s="17" customFormat="1" customHeight="1" spans="1:41">
      <c r="A427" s="20">
        <v>373</v>
      </c>
      <c r="B427" s="20" t="s">
        <v>1708</v>
      </c>
      <c r="C427" s="23" t="s">
        <v>138</v>
      </c>
      <c r="D427" s="23" t="s">
        <v>161</v>
      </c>
      <c r="E427" s="23" t="s">
        <v>23</v>
      </c>
      <c r="F427" s="23" t="s">
        <v>24</v>
      </c>
      <c r="G427" s="23" t="s">
        <v>1709</v>
      </c>
      <c r="H427" s="23" t="s">
        <v>1623</v>
      </c>
      <c r="I427" s="26" t="s">
        <v>1624</v>
      </c>
      <c r="J427" s="23" t="s">
        <v>1710</v>
      </c>
      <c r="K427" s="23" t="s">
        <v>1711</v>
      </c>
      <c r="L427" s="23" t="s">
        <v>1712</v>
      </c>
      <c r="M427" s="25" t="s">
        <v>31</v>
      </c>
      <c r="N427" s="23" t="s">
        <v>32</v>
      </c>
      <c r="O427" s="23" t="s">
        <v>726</v>
      </c>
      <c r="P427" s="23" t="s">
        <v>34</v>
      </c>
      <c r="Q427" s="27" t="str">
        <f>HYPERLINK("http://ovopark.oss-cn-hangzhou.aliyuncs.com/62_1654577977116_3117_76261932722259_.jpg","查看图片")</f>
        <v>查看图片</v>
      </c>
      <c r="R427" s="23" t="s">
        <v>35</v>
      </c>
      <c r="S427" s="23" t="s">
        <v>1713</v>
      </c>
      <c r="T427" s="23" t="s">
        <v>37</v>
      </c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1"/>
      <c r="AI427" s="20"/>
      <c r="AJ427" s="20"/>
      <c r="AK427" s="20"/>
      <c r="AL427" s="20"/>
      <c r="AM427" s="20"/>
      <c r="AN427" s="20"/>
      <c r="AO427" s="20"/>
    </row>
    <row r="428" s="17" customFormat="1" customHeight="1" spans="1:41">
      <c r="A428" s="20">
        <v>373</v>
      </c>
      <c r="B428" s="20" t="s">
        <v>1708</v>
      </c>
      <c r="C428" s="23" t="s">
        <v>138</v>
      </c>
      <c r="D428" s="23" t="s">
        <v>139</v>
      </c>
      <c r="E428" s="23" t="s">
        <v>23</v>
      </c>
      <c r="F428" s="23" t="s">
        <v>24</v>
      </c>
      <c r="G428" s="23" t="s">
        <v>1709</v>
      </c>
      <c r="H428" s="23" t="s">
        <v>1623</v>
      </c>
      <c r="I428" s="26" t="s">
        <v>1624</v>
      </c>
      <c r="J428" s="23" t="s">
        <v>1714</v>
      </c>
      <c r="K428" s="23" t="s">
        <v>1715</v>
      </c>
      <c r="L428" s="23" t="s">
        <v>1712</v>
      </c>
      <c r="M428" s="25" t="s">
        <v>31</v>
      </c>
      <c r="N428" s="23" t="s">
        <v>32</v>
      </c>
      <c r="O428" s="23" t="s">
        <v>726</v>
      </c>
      <c r="P428" s="23" t="s">
        <v>34</v>
      </c>
      <c r="Q428" s="27" t="str">
        <f>HYPERLINK("http://ovopark.oss-cn-hangzhou.aliyuncs.com/62_1654577996027_3117_76282870942043_.jpg","查看图片")</f>
        <v>查看图片</v>
      </c>
      <c r="R428" s="23" t="s">
        <v>35</v>
      </c>
      <c r="S428" s="23" t="s">
        <v>1716</v>
      </c>
      <c r="T428" s="23" t="s">
        <v>37</v>
      </c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1"/>
      <c r="AI428" s="20"/>
      <c r="AJ428" s="20"/>
      <c r="AK428" s="20"/>
      <c r="AL428" s="20"/>
      <c r="AM428" s="20"/>
      <c r="AN428" s="20"/>
      <c r="AO428" s="20"/>
    </row>
    <row r="429" s="17" customFormat="1" customHeight="1" spans="1:41">
      <c r="A429" s="20">
        <v>373</v>
      </c>
      <c r="B429" s="20" t="s">
        <v>1708</v>
      </c>
      <c r="C429" s="23" t="s">
        <v>138</v>
      </c>
      <c r="D429" s="23" t="s">
        <v>156</v>
      </c>
      <c r="E429" s="23" t="s">
        <v>23</v>
      </c>
      <c r="F429" s="23" t="s">
        <v>24</v>
      </c>
      <c r="G429" s="23" t="s">
        <v>1709</v>
      </c>
      <c r="H429" s="23" t="s">
        <v>1623</v>
      </c>
      <c r="I429" s="26" t="s">
        <v>1624</v>
      </c>
      <c r="J429" s="23" t="s">
        <v>1717</v>
      </c>
      <c r="K429" s="23" t="s">
        <v>1718</v>
      </c>
      <c r="L429" s="23" t="s">
        <v>1712</v>
      </c>
      <c r="M429" s="25" t="s">
        <v>31</v>
      </c>
      <c r="N429" s="23" t="s">
        <v>32</v>
      </c>
      <c r="O429" s="23" t="s">
        <v>726</v>
      </c>
      <c r="P429" s="23" t="s">
        <v>34</v>
      </c>
      <c r="Q429" s="27" t="str">
        <f>HYPERLINK("http://ovopark.oss-cn-hangzhou.aliyuncs.com/62_1654578080349_3117_76367200539719_.jpg","查看图片")</f>
        <v>查看图片</v>
      </c>
      <c r="R429" s="23" t="s">
        <v>35</v>
      </c>
      <c r="S429" s="23" t="s">
        <v>1719</v>
      </c>
      <c r="T429" s="23" t="s">
        <v>37</v>
      </c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1"/>
      <c r="AI429" s="20"/>
      <c r="AJ429" s="20"/>
      <c r="AK429" s="20"/>
      <c r="AL429" s="20"/>
      <c r="AM429" s="20"/>
      <c r="AN429" s="20"/>
      <c r="AO429" s="20"/>
    </row>
    <row r="430" s="17" customFormat="1" customHeight="1" spans="1:41">
      <c r="A430" s="20">
        <v>113299</v>
      </c>
      <c r="B430" s="20" t="s">
        <v>1720</v>
      </c>
      <c r="C430" s="23" t="s">
        <v>138</v>
      </c>
      <c r="D430" s="23" t="s">
        <v>156</v>
      </c>
      <c r="E430" s="23" t="s">
        <v>23</v>
      </c>
      <c r="F430" s="23" t="s">
        <v>24</v>
      </c>
      <c r="G430" s="23" t="s">
        <v>1721</v>
      </c>
      <c r="H430" s="23" t="s">
        <v>1623</v>
      </c>
      <c r="I430" s="26" t="s">
        <v>1624</v>
      </c>
      <c r="J430" s="23" t="s">
        <v>1722</v>
      </c>
      <c r="K430" s="23" t="s">
        <v>1723</v>
      </c>
      <c r="L430" s="23" t="s">
        <v>1724</v>
      </c>
      <c r="M430" s="25" t="s">
        <v>31</v>
      </c>
      <c r="N430" s="23" t="s">
        <v>32</v>
      </c>
      <c r="O430" s="23" t="s">
        <v>726</v>
      </c>
      <c r="P430" s="23" t="s">
        <v>34</v>
      </c>
      <c r="Q430" s="27" t="str">
        <f>HYPERLINK("http://ovopark.oss-cn-hangzhou.aliyuncs.com/2167_472911987286799_image_1654570138483.jpg","查看图片")</f>
        <v>查看图片</v>
      </c>
      <c r="R430" s="23" t="s">
        <v>35</v>
      </c>
      <c r="S430" s="23" t="s">
        <v>1725</v>
      </c>
      <c r="T430" s="23" t="s">
        <v>37</v>
      </c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1"/>
      <c r="AI430" s="20"/>
      <c r="AJ430" s="20"/>
      <c r="AK430" s="20"/>
      <c r="AL430" s="20"/>
      <c r="AM430" s="20"/>
      <c r="AN430" s="20"/>
      <c r="AO430" s="20"/>
    </row>
    <row r="431" s="17" customFormat="1" customHeight="1" spans="1:41">
      <c r="A431" s="20">
        <v>113299</v>
      </c>
      <c r="B431" s="20" t="s">
        <v>1720</v>
      </c>
      <c r="C431" s="23" t="s">
        <v>138</v>
      </c>
      <c r="D431" s="23" t="s">
        <v>161</v>
      </c>
      <c r="E431" s="23" t="s">
        <v>23</v>
      </c>
      <c r="F431" s="23" t="s">
        <v>24</v>
      </c>
      <c r="G431" s="23" t="s">
        <v>1721</v>
      </c>
      <c r="H431" s="23" t="s">
        <v>1623</v>
      </c>
      <c r="I431" s="26" t="s">
        <v>1624</v>
      </c>
      <c r="J431" s="23" t="s">
        <v>1726</v>
      </c>
      <c r="K431" s="23" t="s">
        <v>1727</v>
      </c>
      <c r="L431" s="23" t="s">
        <v>1724</v>
      </c>
      <c r="M431" s="25" t="s">
        <v>31</v>
      </c>
      <c r="N431" s="23" t="s">
        <v>32</v>
      </c>
      <c r="O431" s="23" t="s">
        <v>726</v>
      </c>
      <c r="P431" s="23" t="s">
        <v>34</v>
      </c>
      <c r="Q431" s="27" t="str">
        <f>HYPERLINK("http://ovopark.oss-cn-hangzhou.aliyuncs.com/2167_472951609113186_image_1654570187210.jpg","查看图片")</f>
        <v>查看图片</v>
      </c>
      <c r="R431" s="23" t="s">
        <v>35</v>
      </c>
      <c r="S431" s="23" t="s">
        <v>1728</v>
      </c>
      <c r="T431" s="23" t="s">
        <v>37</v>
      </c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1"/>
      <c r="AI431" s="20"/>
      <c r="AJ431" s="20"/>
      <c r="AK431" s="20"/>
      <c r="AL431" s="20"/>
      <c r="AM431" s="20"/>
      <c r="AN431" s="20"/>
      <c r="AO431" s="20"/>
    </row>
    <row r="432" s="17" customFormat="1" customHeight="1" spans="1:41">
      <c r="A432" s="20">
        <v>111219</v>
      </c>
      <c r="B432" s="20" t="s">
        <v>191</v>
      </c>
      <c r="C432" s="23" t="s">
        <v>138</v>
      </c>
      <c r="D432" s="23" t="s">
        <v>257</v>
      </c>
      <c r="E432" s="23" t="s">
        <v>23</v>
      </c>
      <c r="F432" s="23" t="s">
        <v>24</v>
      </c>
      <c r="G432" s="23" t="s">
        <v>1729</v>
      </c>
      <c r="H432" s="23" t="s">
        <v>1623</v>
      </c>
      <c r="I432" s="26" t="s">
        <v>1624</v>
      </c>
      <c r="J432" s="23" t="s">
        <v>1730</v>
      </c>
      <c r="K432" s="23" t="s">
        <v>1731</v>
      </c>
      <c r="L432" s="23" t="s">
        <v>196</v>
      </c>
      <c r="M432" s="25" t="s">
        <v>31</v>
      </c>
      <c r="N432" s="23" t="s">
        <v>32</v>
      </c>
      <c r="O432" s="23" t="s">
        <v>197</v>
      </c>
      <c r="P432" s="23" t="s">
        <v>34</v>
      </c>
      <c r="Q432" s="23" t="s">
        <v>34</v>
      </c>
      <c r="R432" s="23" t="s">
        <v>35</v>
      </c>
      <c r="S432" s="23" t="s">
        <v>1732</v>
      </c>
      <c r="T432" s="23" t="s">
        <v>37</v>
      </c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1"/>
      <c r="AI432" s="20"/>
      <c r="AJ432" s="20"/>
      <c r="AK432" s="20"/>
      <c r="AL432" s="20"/>
      <c r="AM432" s="20"/>
      <c r="AN432" s="20"/>
      <c r="AO432" s="20"/>
    </row>
    <row r="433" s="17" customFormat="1" customHeight="1" spans="1:41">
      <c r="A433" s="20">
        <v>111219</v>
      </c>
      <c r="B433" s="20" t="s">
        <v>191</v>
      </c>
      <c r="C433" s="23" t="s">
        <v>138</v>
      </c>
      <c r="D433" s="23" t="s">
        <v>156</v>
      </c>
      <c r="E433" s="23" t="s">
        <v>23</v>
      </c>
      <c r="F433" s="23" t="s">
        <v>24</v>
      </c>
      <c r="G433" s="23" t="s">
        <v>1733</v>
      </c>
      <c r="H433" s="23" t="s">
        <v>1405</v>
      </c>
      <c r="I433" s="26" t="s">
        <v>567</v>
      </c>
      <c r="J433" s="23" t="s">
        <v>1734</v>
      </c>
      <c r="K433" s="23" t="s">
        <v>1735</v>
      </c>
      <c r="L433" s="23" t="s">
        <v>196</v>
      </c>
      <c r="M433" s="25" t="s">
        <v>31</v>
      </c>
      <c r="N433" s="23" t="s">
        <v>32</v>
      </c>
      <c r="O433" s="23" t="s">
        <v>197</v>
      </c>
      <c r="P433" s="23" t="s">
        <v>34</v>
      </c>
      <c r="Q433" s="23" t="s">
        <v>34</v>
      </c>
      <c r="R433" s="23" t="s">
        <v>35</v>
      </c>
      <c r="S433" s="23" t="s">
        <v>1736</v>
      </c>
      <c r="T433" s="23" t="s">
        <v>37</v>
      </c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1"/>
      <c r="AI433" s="20"/>
      <c r="AJ433" s="20"/>
      <c r="AK433" s="20"/>
      <c r="AL433" s="20"/>
      <c r="AM433" s="20"/>
      <c r="AN433" s="20"/>
      <c r="AO433" s="20"/>
    </row>
    <row r="434" s="17" customFormat="1" customHeight="1" spans="1:41">
      <c r="A434" s="20">
        <v>111219</v>
      </c>
      <c r="B434" s="20" t="s">
        <v>191</v>
      </c>
      <c r="C434" s="23" t="s">
        <v>138</v>
      </c>
      <c r="D434" s="23" t="s">
        <v>161</v>
      </c>
      <c r="E434" s="23" t="s">
        <v>23</v>
      </c>
      <c r="F434" s="23" t="s">
        <v>24</v>
      </c>
      <c r="G434" s="23" t="s">
        <v>1733</v>
      </c>
      <c r="H434" s="23" t="s">
        <v>1405</v>
      </c>
      <c r="I434" s="26" t="s">
        <v>567</v>
      </c>
      <c r="J434" s="23" t="s">
        <v>1737</v>
      </c>
      <c r="K434" s="23" t="s">
        <v>1738</v>
      </c>
      <c r="L434" s="23" t="s">
        <v>196</v>
      </c>
      <c r="M434" s="25" t="s">
        <v>31</v>
      </c>
      <c r="N434" s="23" t="s">
        <v>32</v>
      </c>
      <c r="O434" s="23" t="s">
        <v>197</v>
      </c>
      <c r="P434" s="23" t="s">
        <v>34</v>
      </c>
      <c r="Q434" s="23" t="s">
        <v>34</v>
      </c>
      <c r="R434" s="23" t="s">
        <v>35</v>
      </c>
      <c r="S434" s="23" t="s">
        <v>1739</v>
      </c>
      <c r="T434" s="23" t="s">
        <v>37</v>
      </c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1"/>
      <c r="AI434" s="20"/>
      <c r="AJ434" s="20"/>
      <c r="AK434" s="20"/>
      <c r="AL434" s="20"/>
      <c r="AM434" s="20"/>
      <c r="AN434" s="20"/>
      <c r="AO434" s="20"/>
    </row>
    <row r="435" s="17" customFormat="1" customHeight="1" spans="1:41">
      <c r="A435" s="20">
        <v>111219</v>
      </c>
      <c r="B435" s="20" t="s">
        <v>191</v>
      </c>
      <c r="C435" s="23" t="s">
        <v>138</v>
      </c>
      <c r="D435" s="23" t="s">
        <v>139</v>
      </c>
      <c r="E435" s="23" t="s">
        <v>23</v>
      </c>
      <c r="F435" s="23" t="s">
        <v>24</v>
      </c>
      <c r="G435" s="23" t="s">
        <v>1733</v>
      </c>
      <c r="H435" s="23" t="s">
        <v>1405</v>
      </c>
      <c r="I435" s="26" t="s">
        <v>567</v>
      </c>
      <c r="J435" s="23" t="s">
        <v>1740</v>
      </c>
      <c r="K435" s="23" t="s">
        <v>1741</v>
      </c>
      <c r="L435" s="23" t="s">
        <v>196</v>
      </c>
      <c r="M435" s="25" t="s">
        <v>31</v>
      </c>
      <c r="N435" s="23" t="s">
        <v>32</v>
      </c>
      <c r="O435" s="23" t="s">
        <v>197</v>
      </c>
      <c r="P435" s="23" t="s">
        <v>34</v>
      </c>
      <c r="Q435" s="23" t="s">
        <v>34</v>
      </c>
      <c r="R435" s="23" t="s">
        <v>35</v>
      </c>
      <c r="S435" s="23" t="s">
        <v>1742</v>
      </c>
      <c r="T435" s="23" t="s">
        <v>37</v>
      </c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1"/>
      <c r="AI435" s="20"/>
      <c r="AJ435" s="20"/>
      <c r="AK435" s="20"/>
      <c r="AL435" s="20"/>
      <c r="AM435" s="20"/>
      <c r="AN435" s="20"/>
      <c r="AO435" s="20"/>
    </row>
    <row r="436" s="17" customFormat="1" customHeight="1" spans="1:41">
      <c r="A436" s="20">
        <v>744</v>
      </c>
      <c r="B436" s="20" t="s">
        <v>1743</v>
      </c>
      <c r="C436" s="23" t="s">
        <v>138</v>
      </c>
      <c r="D436" s="23" t="s">
        <v>156</v>
      </c>
      <c r="E436" s="23" t="s">
        <v>23</v>
      </c>
      <c r="F436" s="23" t="s">
        <v>24</v>
      </c>
      <c r="G436" s="23" t="s">
        <v>1744</v>
      </c>
      <c r="H436" s="23" t="s">
        <v>1623</v>
      </c>
      <c r="I436" s="26" t="s">
        <v>1624</v>
      </c>
      <c r="J436" s="23" t="s">
        <v>1745</v>
      </c>
      <c r="K436" s="23" t="s">
        <v>1746</v>
      </c>
      <c r="L436" s="23" t="s">
        <v>1747</v>
      </c>
      <c r="M436" s="25" t="s">
        <v>31</v>
      </c>
      <c r="N436" s="23" t="s">
        <v>32</v>
      </c>
      <c r="O436" s="23" t="s">
        <v>726</v>
      </c>
      <c r="P436" s="23" t="s">
        <v>34</v>
      </c>
      <c r="Q436" s="27" t="str">
        <f>HYPERLINK("http://ovopark.oss-cn-hangzhou.aliyuncs.com/2236_25427516517842_image_1654522945765.jpg","查看图片")</f>
        <v>查看图片</v>
      </c>
      <c r="R436" s="23" t="s">
        <v>35</v>
      </c>
      <c r="S436" s="23" t="s">
        <v>1748</v>
      </c>
      <c r="T436" s="23" t="s">
        <v>37</v>
      </c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1"/>
      <c r="AI436" s="20"/>
      <c r="AJ436" s="20"/>
      <c r="AK436" s="20"/>
      <c r="AL436" s="20"/>
      <c r="AM436" s="20"/>
      <c r="AN436" s="20"/>
      <c r="AO436" s="20"/>
    </row>
    <row r="437" s="17" customFormat="1" customHeight="1" spans="1:41">
      <c r="A437" s="20">
        <v>744</v>
      </c>
      <c r="B437" s="20" t="s">
        <v>1743</v>
      </c>
      <c r="C437" s="23" t="s">
        <v>138</v>
      </c>
      <c r="D437" s="23" t="s">
        <v>161</v>
      </c>
      <c r="E437" s="23" t="s">
        <v>23</v>
      </c>
      <c r="F437" s="23" t="s">
        <v>24</v>
      </c>
      <c r="G437" s="23" t="s">
        <v>1744</v>
      </c>
      <c r="H437" s="23" t="s">
        <v>1623</v>
      </c>
      <c r="I437" s="26" t="s">
        <v>1624</v>
      </c>
      <c r="J437" s="23" t="s">
        <v>1749</v>
      </c>
      <c r="K437" s="23" t="s">
        <v>1750</v>
      </c>
      <c r="L437" s="23" t="s">
        <v>1747</v>
      </c>
      <c r="M437" s="25" t="s">
        <v>31</v>
      </c>
      <c r="N437" s="23" t="s">
        <v>32</v>
      </c>
      <c r="O437" s="23" t="s">
        <v>726</v>
      </c>
      <c r="P437" s="23" t="s">
        <v>34</v>
      </c>
      <c r="Q437" s="27" t="str">
        <f>HYPERLINK("http://ovopark.oss-cn-hangzhou.aliyuncs.com/2236_25446281504138_image_1654522969432.jpg","查看图片")</f>
        <v>查看图片</v>
      </c>
      <c r="R437" s="23" t="s">
        <v>35</v>
      </c>
      <c r="S437" s="23" t="s">
        <v>1751</v>
      </c>
      <c r="T437" s="23" t="s">
        <v>37</v>
      </c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1"/>
      <c r="AI437" s="20"/>
      <c r="AJ437" s="20"/>
      <c r="AK437" s="20"/>
      <c r="AL437" s="20"/>
      <c r="AM437" s="20"/>
      <c r="AN437" s="20"/>
      <c r="AO437" s="20"/>
    </row>
    <row r="438" s="17" customFormat="1" customHeight="1" spans="1:41">
      <c r="A438" s="20">
        <v>744</v>
      </c>
      <c r="B438" s="20" t="s">
        <v>1743</v>
      </c>
      <c r="C438" s="23" t="s">
        <v>138</v>
      </c>
      <c r="D438" s="23" t="s">
        <v>139</v>
      </c>
      <c r="E438" s="23" t="s">
        <v>23</v>
      </c>
      <c r="F438" s="23" t="s">
        <v>24</v>
      </c>
      <c r="G438" s="23" t="s">
        <v>1744</v>
      </c>
      <c r="H438" s="23" t="s">
        <v>1623</v>
      </c>
      <c r="I438" s="26" t="s">
        <v>1624</v>
      </c>
      <c r="J438" s="23" t="s">
        <v>1752</v>
      </c>
      <c r="K438" s="23" t="s">
        <v>1753</v>
      </c>
      <c r="L438" s="23" t="s">
        <v>1747</v>
      </c>
      <c r="M438" s="25" t="s">
        <v>31</v>
      </c>
      <c r="N438" s="23" t="s">
        <v>32</v>
      </c>
      <c r="O438" s="23" t="s">
        <v>726</v>
      </c>
      <c r="P438" s="23" t="s">
        <v>34</v>
      </c>
      <c r="Q438" s="27" t="str">
        <f>HYPERLINK("http://ovopark.oss-cn-hangzhou.aliyuncs.com/2236_25475449491210_image_1654522997402.jpg","查看图片")</f>
        <v>查看图片</v>
      </c>
      <c r="R438" s="23" t="s">
        <v>35</v>
      </c>
      <c r="S438" s="23" t="s">
        <v>1754</v>
      </c>
      <c r="T438" s="23" t="s">
        <v>37</v>
      </c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1"/>
      <c r="AI438" s="20"/>
      <c r="AJ438" s="20"/>
      <c r="AK438" s="20"/>
      <c r="AL438" s="20"/>
      <c r="AM438" s="20"/>
      <c r="AN438" s="20"/>
      <c r="AO438" s="20"/>
    </row>
    <row r="439" s="17" customFormat="1" customHeight="1" spans="1:41">
      <c r="A439" s="20">
        <v>337</v>
      </c>
      <c r="B439" s="20" t="s">
        <v>1755</v>
      </c>
      <c r="C439" s="23" t="s">
        <v>138</v>
      </c>
      <c r="D439" s="23" t="s">
        <v>161</v>
      </c>
      <c r="E439" s="23" t="s">
        <v>23</v>
      </c>
      <c r="F439" s="23" t="s">
        <v>24</v>
      </c>
      <c r="G439" s="23" t="s">
        <v>1756</v>
      </c>
      <c r="H439" s="23" t="s">
        <v>1623</v>
      </c>
      <c r="I439" s="26" t="s">
        <v>1624</v>
      </c>
      <c r="J439" s="23" t="s">
        <v>1757</v>
      </c>
      <c r="K439" s="23" t="s">
        <v>1758</v>
      </c>
      <c r="L439" s="23" t="s">
        <v>1724</v>
      </c>
      <c r="M439" s="25" t="s">
        <v>31</v>
      </c>
      <c r="N439" s="23" t="s">
        <v>32</v>
      </c>
      <c r="O439" s="23" t="s">
        <v>726</v>
      </c>
      <c r="P439" s="23" t="s">
        <v>34</v>
      </c>
      <c r="Q439" s="27" t="str">
        <f>HYPERLINK("http://ovopark.oss-cn-hangzhou.aliyuncs.com/62_1654524651553_2167_231350696955961_.jpeg","查看图片")</f>
        <v>查看图片</v>
      </c>
      <c r="R439" s="23" t="s">
        <v>35</v>
      </c>
      <c r="S439" s="23" t="s">
        <v>1759</v>
      </c>
      <c r="T439" s="23" t="s">
        <v>37</v>
      </c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1"/>
      <c r="AI439" s="20"/>
      <c r="AJ439" s="20"/>
      <c r="AK439" s="20"/>
      <c r="AL439" s="20"/>
      <c r="AM439" s="20"/>
      <c r="AN439" s="20"/>
      <c r="AO439" s="20"/>
    </row>
    <row r="440" s="17" customFormat="1" customHeight="1" spans="1:41">
      <c r="A440" s="20">
        <v>724</v>
      </c>
      <c r="B440" s="20" t="s">
        <v>1760</v>
      </c>
      <c r="C440" s="23" t="s">
        <v>138</v>
      </c>
      <c r="D440" s="23" t="s">
        <v>156</v>
      </c>
      <c r="E440" s="23" t="s">
        <v>23</v>
      </c>
      <c r="F440" s="23" t="s">
        <v>24</v>
      </c>
      <c r="G440" s="23" t="s">
        <v>1761</v>
      </c>
      <c r="H440" s="23" t="s">
        <v>1623</v>
      </c>
      <c r="I440" s="26" t="s">
        <v>1624</v>
      </c>
      <c r="J440" s="23" t="s">
        <v>1762</v>
      </c>
      <c r="K440" s="23" t="s">
        <v>1763</v>
      </c>
      <c r="L440" s="23" t="s">
        <v>1764</v>
      </c>
      <c r="M440" s="25" t="s">
        <v>31</v>
      </c>
      <c r="N440" s="23" t="s">
        <v>32</v>
      </c>
      <c r="O440" s="23" t="s">
        <v>726</v>
      </c>
      <c r="P440" s="23" t="s">
        <v>34</v>
      </c>
      <c r="Q440" s="27" t="str">
        <f>HYPERLINK("http://ovopark.oss-cn-hangzhou.aliyuncs.com/2196_391110484784694_image_1654497191833.jpg","查看图片")</f>
        <v>查看图片</v>
      </c>
      <c r="R440" s="23" t="s">
        <v>35</v>
      </c>
      <c r="S440" s="23" t="s">
        <v>1765</v>
      </c>
      <c r="T440" s="23" t="s">
        <v>37</v>
      </c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1"/>
      <c r="AI440" s="20"/>
      <c r="AJ440" s="20"/>
      <c r="AK440" s="20"/>
      <c r="AL440" s="20"/>
      <c r="AM440" s="20"/>
      <c r="AN440" s="20"/>
      <c r="AO440" s="20"/>
    </row>
    <row r="441" s="17" customFormat="1" customHeight="1" spans="1:41">
      <c r="A441" s="20">
        <v>724</v>
      </c>
      <c r="B441" s="20" t="s">
        <v>1760</v>
      </c>
      <c r="C441" s="23" t="s">
        <v>138</v>
      </c>
      <c r="D441" s="23" t="s">
        <v>161</v>
      </c>
      <c r="E441" s="23" t="s">
        <v>23</v>
      </c>
      <c r="F441" s="23" t="s">
        <v>24</v>
      </c>
      <c r="G441" s="23" t="s">
        <v>1761</v>
      </c>
      <c r="H441" s="23" t="s">
        <v>1623</v>
      </c>
      <c r="I441" s="26" t="s">
        <v>1624</v>
      </c>
      <c r="J441" s="23" t="s">
        <v>1766</v>
      </c>
      <c r="K441" s="23" t="s">
        <v>1767</v>
      </c>
      <c r="L441" s="23" t="s">
        <v>1764</v>
      </c>
      <c r="M441" s="25" t="s">
        <v>31</v>
      </c>
      <c r="N441" s="23" t="s">
        <v>32</v>
      </c>
      <c r="O441" s="23" t="s">
        <v>726</v>
      </c>
      <c r="P441" s="23" t="s">
        <v>34</v>
      </c>
      <c r="Q441" s="27" t="str">
        <f>HYPERLINK("http://ovopark.oss-cn-hangzhou.aliyuncs.com/2196_391143366841926_image_1654497223940.jpg","查看图片")</f>
        <v>查看图片</v>
      </c>
      <c r="R441" s="23" t="s">
        <v>35</v>
      </c>
      <c r="S441" s="23" t="s">
        <v>1768</v>
      </c>
      <c r="T441" s="23" t="s">
        <v>37</v>
      </c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1"/>
      <c r="AI441" s="20"/>
      <c r="AJ441" s="20"/>
      <c r="AK441" s="20"/>
      <c r="AL441" s="20"/>
      <c r="AM441" s="20"/>
      <c r="AN441" s="20"/>
      <c r="AO441" s="20"/>
    </row>
    <row r="442" s="17" customFormat="1" customHeight="1" spans="1:41">
      <c r="A442" s="20">
        <v>724</v>
      </c>
      <c r="B442" s="20" t="s">
        <v>1760</v>
      </c>
      <c r="C442" s="23" t="s">
        <v>138</v>
      </c>
      <c r="D442" s="23" t="s">
        <v>139</v>
      </c>
      <c r="E442" s="23" t="s">
        <v>23</v>
      </c>
      <c r="F442" s="23" t="s">
        <v>24</v>
      </c>
      <c r="G442" s="23" t="s">
        <v>1761</v>
      </c>
      <c r="H442" s="23" t="s">
        <v>1623</v>
      </c>
      <c r="I442" s="26" t="s">
        <v>1624</v>
      </c>
      <c r="J442" s="23" t="s">
        <v>1769</v>
      </c>
      <c r="K442" s="23" t="s">
        <v>1770</v>
      </c>
      <c r="L442" s="23" t="s">
        <v>1764</v>
      </c>
      <c r="M442" s="25" t="s">
        <v>31</v>
      </c>
      <c r="N442" s="23" t="s">
        <v>32</v>
      </c>
      <c r="O442" s="23" t="s">
        <v>726</v>
      </c>
      <c r="P442" s="23" t="s">
        <v>34</v>
      </c>
      <c r="Q442" s="27" t="str">
        <f>HYPERLINK("http://ovopark.oss-cn-hangzhou.aliyuncs.com/2196_391172991309236_image_1654497254035.jpg","查看图片")</f>
        <v>查看图片</v>
      </c>
      <c r="R442" s="23" t="s">
        <v>35</v>
      </c>
      <c r="S442" s="23" t="s">
        <v>1771</v>
      </c>
      <c r="T442" s="23" t="s">
        <v>37</v>
      </c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1"/>
      <c r="AI442" s="20"/>
      <c r="AJ442" s="20"/>
      <c r="AK442" s="20"/>
      <c r="AL442" s="20"/>
      <c r="AM442" s="20"/>
      <c r="AN442" s="20"/>
      <c r="AO442" s="20"/>
    </row>
    <row r="443" s="17" customFormat="1" customHeight="1" spans="1:41">
      <c r="A443" s="20">
        <v>116482</v>
      </c>
      <c r="B443" s="20" t="s">
        <v>720</v>
      </c>
      <c r="C443" s="23" t="s">
        <v>138</v>
      </c>
      <c r="D443" s="23" t="s">
        <v>156</v>
      </c>
      <c r="E443" s="23" t="s">
        <v>23</v>
      </c>
      <c r="F443" s="23" t="s">
        <v>24</v>
      </c>
      <c r="G443" s="23" t="s">
        <v>1772</v>
      </c>
      <c r="H443" s="23" t="s">
        <v>1623</v>
      </c>
      <c r="I443" s="26" t="s">
        <v>1624</v>
      </c>
      <c r="J443" s="23" t="s">
        <v>1773</v>
      </c>
      <c r="K443" s="23" t="s">
        <v>1774</v>
      </c>
      <c r="L443" s="23" t="s">
        <v>725</v>
      </c>
      <c r="M443" s="25" t="s">
        <v>31</v>
      </c>
      <c r="N443" s="23" t="s">
        <v>32</v>
      </c>
      <c r="O443" s="23" t="s">
        <v>726</v>
      </c>
      <c r="P443" s="23" t="s">
        <v>34</v>
      </c>
      <c r="Q443" s="27" t="str">
        <f>HYPERLINK("http://ovopark.oss-cn-hangzhou.aliyuncs.com/2191_737241993713943_image_1654480763374.jpg","查看图片")</f>
        <v>查看图片</v>
      </c>
      <c r="R443" s="23" t="s">
        <v>35</v>
      </c>
      <c r="S443" s="23" t="s">
        <v>1775</v>
      </c>
      <c r="T443" s="23" t="s">
        <v>37</v>
      </c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1"/>
      <c r="AI443" s="20"/>
      <c r="AJ443" s="20"/>
      <c r="AK443" s="20"/>
      <c r="AL443" s="20"/>
      <c r="AM443" s="20"/>
      <c r="AN443" s="20"/>
      <c r="AO443" s="20"/>
    </row>
    <row r="444" s="17" customFormat="1" customHeight="1" spans="1:41">
      <c r="A444" s="20">
        <v>116482</v>
      </c>
      <c r="B444" s="20" t="s">
        <v>720</v>
      </c>
      <c r="C444" s="23" t="s">
        <v>138</v>
      </c>
      <c r="D444" s="23" t="s">
        <v>161</v>
      </c>
      <c r="E444" s="23" t="s">
        <v>23</v>
      </c>
      <c r="F444" s="23" t="s">
        <v>24</v>
      </c>
      <c r="G444" s="23" t="s">
        <v>1772</v>
      </c>
      <c r="H444" s="23" t="s">
        <v>1623</v>
      </c>
      <c r="I444" s="26" t="s">
        <v>1624</v>
      </c>
      <c r="J444" s="23" t="s">
        <v>1776</v>
      </c>
      <c r="K444" s="23" t="s">
        <v>1777</v>
      </c>
      <c r="L444" s="23" t="s">
        <v>725</v>
      </c>
      <c r="M444" s="25" t="s">
        <v>31</v>
      </c>
      <c r="N444" s="23" t="s">
        <v>32</v>
      </c>
      <c r="O444" s="23" t="s">
        <v>726</v>
      </c>
      <c r="P444" s="23" t="s">
        <v>34</v>
      </c>
      <c r="Q444" s="27" t="str">
        <f>HYPERLINK("http://ovopark.oss-cn-hangzhou.aliyuncs.com/2191_737294397822176_image_1654480820722.jpg","查看图片")</f>
        <v>查看图片</v>
      </c>
      <c r="R444" s="23" t="s">
        <v>35</v>
      </c>
      <c r="S444" s="23" t="s">
        <v>1778</v>
      </c>
      <c r="T444" s="23" t="s">
        <v>37</v>
      </c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1"/>
      <c r="AI444" s="20"/>
      <c r="AJ444" s="20"/>
      <c r="AK444" s="20"/>
      <c r="AL444" s="20"/>
      <c r="AM444" s="20"/>
      <c r="AN444" s="20"/>
      <c r="AO444" s="20"/>
    </row>
    <row r="445" s="17" customFormat="1" customHeight="1" spans="1:41">
      <c r="A445" s="20">
        <v>116482</v>
      </c>
      <c r="B445" s="20" t="s">
        <v>720</v>
      </c>
      <c r="C445" s="23" t="s">
        <v>138</v>
      </c>
      <c r="D445" s="23" t="s">
        <v>139</v>
      </c>
      <c r="E445" s="23" t="s">
        <v>23</v>
      </c>
      <c r="F445" s="23" t="s">
        <v>24</v>
      </c>
      <c r="G445" s="23" t="s">
        <v>1772</v>
      </c>
      <c r="H445" s="23" t="s">
        <v>1623</v>
      </c>
      <c r="I445" s="26" t="s">
        <v>1624</v>
      </c>
      <c r="J445" s="23" t="s">
        <v>1779</v>
      </c>
      <c r="K445" s="23" t="s">
        <v>1780</v>
      </c>
      <c r="L445" s="23" t="s">
        <v>725</v>
      </c>
      <c r="M445" s="25" t="s">
        <v>31</v>
      </c>
      <c r="N445" s="23" t="s">
        <v>32</v>
      </c>
      <c r="O445" s="23" t="s">
        <v>726</v>
      </c>
      <c r="P445" s="23" t="s">
        <v>34</v>
      </c>
      <c r="Q445" s="27" t="str">
        <f>HYPERLINK("http://ovopark.oss-cn-hangzhou.aliyuncs.com/2191_737334077245256_image_1654480860353.jpg","查看图片")</f>
        <v>查看图片</v>
      </c>
      <c r="R445" s="23" t="s">
        <v>35</v>
      </c>
      <c r="S445" s="23" t="s">
        <v>1781</v>
      </c>
      <c r="T445" s="23" t="s">
        <v>37</v>
      </c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1"/>
      <c r="AI445" s="20"/>
      <c r="AJ445" s="20"/>
      <c r="AK445" s="20"/>
      <c r="AL445" s="20"/>
      <c r="AM445" s="20"/>
      <c r="AN445" s="20"/>
      <c r="AO445" s="20"/>
    </row>
    <row r="446" s="17" customFormat="1" hidden="1" customHeight="1" spans="3:20">
      <c r="C446" s="23" t="s">
        <v>692</v>
      </c>
      <c r="D446" s="23" t="s">
        <v>693</v>
      </c>
      <c r="E446" s="23" t="s">
        <v>23</v>
      </c>
      <c r="F446" s="23" t="s">
        <v>24</v>
      </c>
      <c r="G446" s="23" t="s">
        <v>1782</v>
      </c>
      <c r="H446" s="23" t="s">
        <v>1405</v>
      </c>
      <c r="I446" s="26" t="s">
        <v>567</v>
      </c>
      <c r="J446" s="23" t="s">
        <v>1783</v>
      </c>
      <c r="K446" s="23" t="s">
        <v>1784</v>
      </c>
      <c r="L446" s="23" t="s">
        <v>221</v>
      </c>
      <c r="M446" s="23" t="s">
        <v>58</v>
      </c>
      <c r="N446" s="23" t="s">
        <v>32</v>
      </c>
      <c r="O446" s="23" t="s">
        <v>197</v>
      </c>
      <c r="P446" s="27" t="str">
        <f>HYPERLINK("http://ovopark.oss-cn-hangzhou.aliyuncs.com/0_62_20220601110758_6775.png?x-oss-process=image/resize,w_700,l_700","查看图片")</f>
        <v>查看图片</v>
      </c>
      <c r="Q446" s="27" t="str">
        <f>HYPERLINK("http://ovopark.oss-cn-hangzhou.aliyuncs.com/0_62_20220604222013_4458.jpeg","查看图片")</f>
        <v>查看图片</v>
      </c>
      <c r="R446" s="23" t="s">
        <v>60</v>
      </c>
      <c r="S446" s="23" t="s">
        <v>1785</v>
      </c>
      <c r="T446" s="23" t="s">
        <v>37</v>
      </c>
    </row>
    <row r="447" s="17" customFormat="1" hidden="1" customHeight="1" spans="3:20">
      <c r="C447" s="23" t="s">
        <v>692</v>
      </c>
      <c r="D447" s="23" t="s">
        <v>971</v>
      </c>
      <c r="E447" s="23" t="s">
        <v>23</v>
      </c>
      <c r="F447" s="23" t="s">
        <v>24</v>
      </c>
      <c r="G447" s="23" t="s">
        <v>1782</v>
      </c>
      <c r="H447" s="23" t="s">
        <v>1405</v>
      </c>
      <c r="I447" s="26" t="s">
        <v>567</v>
      </c>
      <c r="J447" s="23" t="s">
        <v>1786</v>
      </c>
      <c r="K447" s="23" t="s">
        <v>1787</v>
      </c>
      <c r="L447" s="23" t="s">
        <v>221</v>
      </c>
      <c r="M447" s="23" t="s">
        <v>58</v>
      </c>
      <c r="N447" s="23" t="s">
        <v>32</v>
      </c>
      <c r="O447" s="23" t="s">
        <v>197</v>
      </c>
      <c r="P447" s="27" t="str">
        <f>HYPERLINK("http://ovopark.oss-cn-hangzhou.aliyuncs.com/0_62_20220601113128_2118.png?x-oss-process=image/resize,w_700,l_700","查看图片")</f>
        <v>查看图片</v>
      </c>
      <c r="Q447" s="27" t="str">
        <f>HYPERLINK("http://ovopark.oss-cn-hangzhou.aliyuncs.com/0_62_20220604221952_8333.jpeg","查看图片")</f>
        <v>查看图片</v>
      </c>
      <c r="R447" s="23" t="s">
        <v>60</v>
      </c>
      <c r="S447" s="23" t="s">
        <v>1788</v>
      </c>
      <c r="T447" s="23" t="s">
        <v>37</v>
      </c>
    </row>
    <row r="448" s="17" customFormat="1" hidden="1" customHeight="1" spans="3:20">
      <c r="C448" s="23" t="s">
        <v>677</v>
      </c>
      <c r="D448" s="23" t="s">
        <v>678</v>
      </c>
      <c r="E448" s="23" t="s">
        <v>23</v>
      </c>
      <c r="F448" s="23" t="s">
        <v>24</v>
      </c>
      <c r="G448" s="23" t="s">
        <v>1782</v>
      </c>
      <c r="H448" s="23" t="s">
        <v>1405</v>
      </c>
      <c r="I448" s="26" t="s">
        <v>567</v>
      </c>
      <c r="J448" s="23" t="s">
        <v>1789</v>
      </c>
      <c r="K448" s="23" t="s">
        <v>1790</v>
      </c>
      <c r="L448" s="23" t="s">
        <v>221</v>
      </c>
      <c r="M448" s="23" t="s">
        <v>58</v>
      </c>
      <c r="N448" s="23" t="s">
        <v>32</v>
      </c>
      <c r="O448" s="23" t="s">
        <v>197</v>
      </c>
      <c r="P448" s="27" t="str">
        <f>HYPERLINK("http://ovopark.oss-cn-hangzhou.aliyuncs.com/0_62_20220601120607_1399.png?x-oss-process=image/resize,w_700,l_700","查看图片")</f>
        <v>查看图片</v>
      </c>
      <c r="Q448" s="27" t="str">
        <f>HYPERLINK("http://ovopark.oss-cn-hangzhou.aliyuncs.com/0_62_20220604221838_6716.jpeg","查看图片")</f>
        <v>查看图片</v>
      </c>
      <c r="R448" s="23" t="s">
        <v>60</v>
      </c>
      <c r="S448" s="23" t="s">
        <v>1791</v>
      </c>
      <c r="T448" s="23" t="s">
        <v>37</v>
      </c>
    </row>
    <row r="449" s="17" customFormat="1" hidden="1" customHeight="1" spans="3:20">
      <c r="C449" s="23" t="s">
        <v>880</v>
      </c>
      <c r="D449" s="23" t="s">
        <v>881</v>
      </c>
      <c r="E449" s="23" t="s">
        <v>23</v>
      </c>
      <c r="F449" s="23" t="s">
        <v>24</v>
      </c>
      <c r="G449" s="23" t="s">
        <v>1782</v>
      </c>
      <c r="H449" s="23" t="s">
        <v>1405</v>
      </c>
      <c r="I449" s="26" t="s">
        <v>567</v>
      </c>
      <c r="J449" s="23" t="s">
        <v>1792</v>
      </c>
      <c r="K449" s="23" t="s">
        <v>1793</v>
      </c>
      <c r="L449" s="23" t="s">
        <v>221</v>
      </c>
      <c r="M449" s="23" t="s">
        <v>58</v>
      </c>
      <c r="N449" s="23" t="s">
        <v>32</v>
      </c>
      <c r="O449" s="23" t="s">
        <v>197</v>
      </c>
      <c r="P449" s="27" t="str">
        <f>HYPERLINK("http://ovopark.oss-cn-hangzhou.aliyuncs.com/0_62_20220601120141_80.png?x-oss-process=image/resize,w_700,l_700","查看图片")</f>
        <v>查看图片</v>
      </c>
      <c r="Q449" s="27" t="str">
        <f>HYPERLINK("http://ovopark.oss-cn-hangzhou.aliyuncs.com/0_62_20220604221803_7682.jpeg","查看图片")</f>
        <v>查看图片</v>
      </c>
      <c r="R449" s="23" t="s">
        <v>60</v>
      </c>
      <c r="S449" s="23" t="s">
        <v>1794</v>
      </c>
      <c r="T449" s="23" t="s">
        <v>37</v>
      </c>
    </row>
    <row r="450" s="17" customFormat="1" hidden="1" customHeight="1" spans="3:20">
      <c r="C450" s="23" t="s">
        <v>138</v>
      </c>
      <c r="D450" s="23" t="s">
        <v>139</v>
      </c>
      <c r="E450" s="23" t="s">
        <v>23</v>
      </c>
      <c r="F450" s="23" t="s">
        <v>24</v>
      </c>
      <c r="G450" s="23" t="s">
        <v>1795</v>
      </c>
      <c r="H450" s="23" t="s">
        <v>1405</v>
      </c>
      <c r="I450" s="26" t="s">
        <v>567</v>
      </c>
      <c r="J450" s="23" t="s">
        <v>1796</v>
      </c>
      <c r="K450" s="23" t="s">
        <v>1797</v>
      </c>
      <c r="L450" s="23" t="s">
        <v>221</v>
      </c>
      <c r="M450" s="23" t="s">
        <v>58</v>
      </c>
      <c r="N450" s="23" t="s">
        <v>32</v>
      </c>
      <c r="O450" s="23" t="s">
        <v>197</v>
      </c>
      <c r="P450" s="23" t="s">
        <v>34</v>
      </c>
      <c r="Q450" s="27" t="str">
        <f>HYPERLINK("http://ovopark.oss-cn-hangzhou.aliyuncs.com/0_62_20220604221722_4591.jpeg","查看图片")</f>
        <v>查看图片</v>
      </c>
      <c r="R450" s="23" t="s">
        <v>35</v>
      </c>
      <c r="S450" s="23" t="s">
        <v>1798</v>
      </c>
      <c r="T450" s="23" t="s">
        <v>37</v>
      </c>
    </row>
    <row r="451" s="17" customFormat="1" hidden="1" customHeight="1" spans="3:20">
      <c r="C451" s="23" t="s">
        <v>138</v>
      </c>
      <c r="D451" s="23" t="s">
        <v>161</v>
      </c>
      <c r="E451" s="23" t="s">
        <v>23</v>
      </c>
      <c r="F451" s="23" t="s">
        <v>24</v>
      </c>
      <c r="G451" s="23" t="s">
        <v>1795</v>
      </c>
      <c r="H451" s="23" t="s">
        <v>1405</v>
      </c>
      <c r="I451" s="26" t="s">
        <v>567</v>
      </c>
      <c r="J451" s="23" t="s">
        <v>1799</v>
      </c>
      <c r="K451" s="23" t="s">
        <v>1800</v>
      </c>
      <c r="L451" s="23" t="s">
        <v>221</v>
      </c>
      <c r="M451" s="23" t="s">
        <v>58</v>
      </c>
      <c r="N451" s="23" t="s">
        <v>32</v>
      </c>
      <c r="O451" s="23" t="s">
        <v>197</v>
      </c>
      <c r="P451" s="23" t="s">
        <v>34</v>
      </c>
      <c r="Q451" s="27" t="str">
        <f>HYPERLINK("http://ovopark.oss-cn-hangzhou.aliyuncs.com/0_62_20220604221708_7391.jpeg","查看图片")</f>
        <v>查看图片</v>
      </c>
      <c r="R451" s="23" t="s">
        <v>35</v>
      </c>
      <c r="S451" s="23" t="s">
        <v>1801</v>
      </c>
      <c r="T451" s="23" t="s">
        <v>37</v>
      </c>
    </row>
    <row r="452" s="17" customFormat="1" hidden="1" customHeight="1" spans="3:20">
      <c r="C452" s="23" t="s">
        <v>138</v>
      </c>
      <c r="D452" s="23" t="s">
        <v>156</v>
      </c>
      <c r="E452" s="23" t="s">
        <v>23</v>
      </c>
      <c r="F452" s="23" t="s">
        <v>24</v>
      </c>
      <c r="G452" s="23" t="s">
        <v>1795</v>
      </c>
      <c r="H452" s="23" t="s">
        <v>1405</v>
      </c>
      <c r="I452" s="26" t="s">
        <v>567</v>
      </c>
      <c r="J452" s="23" t="s">
        <v>1802</v>
      </c>
      <c r="K452" s="23" t="s">
        <v>1803</v>
      </c>
      <c r="L452" s="23" t="s">
        <v>221</v>
      </c>
      <c r="M452" s="23" t="s">
        <v>58</v>
      </c>
      <c r="N452" s="23" t="s">
        <v>32</v>
      </c>
      <c r="O452" s="23" t="s">
        <v>197</v>
      </c>
      <c r="P452" s="23" t="s">
        <v>34</v>
      </c>
      <c r="Q452" s="27" t="str">
        <f>HYPERLINK("http://ovopark.oss-cn-hangzhou.aliyuncs.com/0_62_20220604221645_4411.jpeg","查看图片")</f>
        <v>查看图片</v>
      </c>
      <c r="R452" s="23" t="s">
        <v>35</v>
      </c>
      <c r="S452" s="23" t="s">
        <v>1804</v>
      </c>
      <c r="T452" s="23" t="s">
        <v>37</v>
      </c>
    </row>
    <row r="453" s="17" customFormat="1" customHeight="1" spans="1:41">
      <c r="A453" s="20">
        <v>513</v>
      </c>
      <c r="B453" s="20" t="s">
        <v>506</v>
      </c>
      <c r="C453" s="23" t="s">
        <v>138</v>
      </c>
      <c r="D453" s="23" t="s">
        <v>156</v>
      </c>
      <c r="E453" s="23" t="s">
        <v>23</v>
      </c>
      <c r="F453" s="23" t="s">
        <v>24</v>
      </c>
      <c r="G453" s="23" t="s">
        <v>1805</v>
      </c>
      <c r="H453" s="23" t="s">
        <v>1405</v>
      </c>
      <c r="I453" s="26" t="s">
        <v>567</v>
      </c>
      <c r="J453" s="23" t="s">
        <v>1806</v>
      </c>
      <c r="K453" s="23" t="s">
        <v>1807</v>
      </c>
      <c r="L453" s="23" t="s">
        <v>510</v>
      </c>
      <c r="M453" s="25" t="s">
        <v>31</v>
      </c>
      <c r="N453" s="23" t="s">
        <v>32</v>
      </c>
      <c r="O453" s="23" t="s">
        <v>197</v>
      </c>
      <c r="P453" s="23" t="s">
        <v>34</v>
      </c>
      <c r="Q453" s="27" t="str">
        <f>HYPERLINK("http://ovopark.oss-cn-hangzhou.aliyuncs.com/62_1654415174458_5208_250713757064669_.jpg","查看图片")</f>
        <v>查看图片</v>
      </c>
      <c r="R453" s="23" t="s">
        <v>35</v>
      </c>
      <c r="S453" s="23" t="s">
        <v>1808</v>
      </c>
      <c r="T453" s="23" t="s">
        <v>37</v>
      </c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1"/>
      <c r="AI453" s="20"/>
      <c r="AJ453" s="20"/>
      <c r="AK453" s="20"/>
      <c r="AL453" s="20"/>
      <c r="AM453" s="20"/>
      <c r="AN453" s="20"/>
      <c r="AO453" s="20"/>
    </row>
    <row r="454" s="17" customFormat="1" customHeight="1" spans="1:41">
      <c r="A454" s="20">
        <v>513</v>
      </c>
      <c r="B454" s="20" t="s">
        <v>506</v>
      </c>
      <c r="C454" s="23" t="s">
        <v>138</v>
      </c>
      <c r="D454" s="23" t="s">
        <v>161</v>
      </c>
      <c r="E454" s="23" t="s">
        <v>23</v>
      </c>
      <c r="F454" s="23" t="s">
        <v>24</v>
      </c>
      <c r="G454" s="23" t="s">
        <v>1805</v>
      </c>
      <c r="H454" s="23" t="s">
        <v>1405</v>
      </c>
      <c r="I454" s="26" t="s">
        <v>567</v>
      </c>
      <c r="J454" s="23" t="s">
        <v>1809</v>
      </c>
      <c r="K454" s="23" t="s">
        <v>1810</v>
      </c>
      <c r="L454" s="23" t="s">
        <v>510</v>
      </c>
      <c r="M454" s="25" t="s">
        <v>31</v>
      </c>
      <c r="N454" s="23" t="s">
        <v>32</v>
      </c>
      <c r="O454" s="23" t="s">
        <v>197</v>
      </c>
      <c r="P454" s="23" t="s">
        <v>34</v>
      </c>
      <c r="Q454" s="27" t="str">
        <f>HYPERLINK("http://ovopark.oss-cn-hangzhou.aliyuncs.com/62_1654415238398_5208_250777723111832_.jpg","查看图片")</f>
        <v>查看图片</v>
      </c>
      <c r="R454" s="23" t="s">
        <v>35</v>
      </c>
      <c r="S454" s="23" t="s">
        <v>1811</v>
      </c>
      <c r="T454" s="23" t="s">
        <v>37</v>
      </c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1"/>
      <c r="AI454" s="20"/>
      <c r="AJ454" s="20"/>
      <c r="AK454" s="20"/>
      <c r="AL454" s="20"/>
      <c r="AM454" s="20"/>
      <c r="AN454" s="20"/>
      <c r="AO454" s="20"/>
    </row>
    <row r="455" s="17" customFormat="1" customHeight="1" spans="1:41">
      <c r="A455" s="20">
        <v>513</v>
      </c>
      <c r="B455" s="20" t="s">
        <v>506</v>
      </c>
      <c r="C455" s="23" t="s">
        <v>138</v>
      </c>
      <c r="D455" s="23" t="s">
        <v>139</v>
      </c>
      <c r="E455" s="23" t="s">
        <v>23</v>
      </c>
      <c r="F455" s="23" t="s">
        <v>24</v>
      </c>
      <c r="G455" s="23" t="s">
        <v>1805</v>
      </c>
      <c r="H455" s="23" t="s">
        <v>1405</v>
      </c>
      <c r="I455" s="26" t="s">
        <v>567</v>
      </c>
      <c r="J455" s="23" t="s">
        <v>1812</v>
      </c>
      <c r="K455" s="23" t="s">
        <v>1813</v>
      </c>
      <c r="L455" s="23" t="s">
        <v>510</v>
      </c>
      <c r="M455" s="25" t="s">
        <v>31</v>
      </c>
      <c r="N455" s="23" t="s">
        <v>32</v>
      </c>
      <c r="O455" s="23" t="s">
        <v>197</v>
      </c>
      <c r="P455" s="23" t="s">
        <v>34</v>
      </c>
      <c r="Q455" s="27" t="str">
        <f>HYPERLINK("http://ovopark.oss-cn-hangzhou.aliyuncs.com/62_1654415286048_5208_250825421994001_.jpg","查看图片")</f>
        <v>查看图片</v>
      </c>
      <c r="R455" s="23" t="s">
        <v>35</v>
      </c>
      <c r="S455" s="23" t="s">
        <v>1814</v>
      </c>
      <c r="T455" s="23" t="s">
        <v>37</v>
      </c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1"/>
      <c r="AI455" s="20"/>
      <c r="AJ455" s="20"/>
      <c r="AK455" s="20"/>
      <c r="AL455" s="20"/>
      <c r="AM455" s="20"/>
      <c r="AN455" s="20"/>
      <c r="AO455" s="20"/>
    </row>
    <row r="456" s="17" customFormat="1" hidden="1" customHeight="1" spans="3:20">
      <c r="C456" s="23" t="s">
        <v>138</v>
      </c>
      <c r="D456" s="23" t="s">
        <v>257</v>
      </c>
      <c r="E456" s="23" t="s">
        <v>23</v>
      </c>
      <c r="F456" s="23" t="s">
        <v>24</v>
      </c>
      <c r="G456" s="23" t="s">
        <v>1815</v>
      </c>
      <c r="H456" s="23" t="s">
        <v>1623</v>
      </c>
      <c r="I456" s="26" t="s">
        <v>1624</v>
      </c>
      <c r="J456" s="23" t="s">
        <v>1816</v>
      </c>
      <c r="K456" s="23" t="s">
        <v>1817</v>
      </c>
      <c r="L456" s="23" t="s">
        <v>510</v>
      </c>
      <c r="M456" s="23" t="s">
        <v>58</v>
      </c>
      <c r="N456" s="23" t="s">
        <v>32</v>
      </c>
      <c r="O456" s="23" t="s">
        <v>197</v>
      </c>
      <c r="P456" s="23" t="s">
        <v>34</v>
      </c>
      <c r="Q456" s="27" t="str">
        <f>HYPERLINK("http://ovopark.oss-cn-hangzhou.aliyuncs.com/62_1654414354847_5208_250169069398471_.jpg","查看图片")</f>
        <v>查看图片</v>
      </c>
      <c r="R456" s="23" t="s">
        <v>35</v>
      </c>
      <c r="S456" s="23" t="s">
        <v>1818</v>
      </c>
      <c r="T456" s="23" t="s">
        <v>37</v>
      </c>
    </row>
    <row r="457" s="17" customFormat="1" hidden="1" customHeight="1" spans="3:20">
      <c r="C457" s="23" t="s">
        <v>138</v>
      </c>
      <c r="D457" s="23" t="s">
        <v>257</v>
      </c>
      <c r="E457" s="23" t="s">
        <v>23</v>
      </c>
      <c r="F457" s="23" t="s">
        <v>24</v>
      </c>
      <c r="G457" s="23" t="s">
        <v>1819</v>
      </c>
      <c r="H457" s="23" t="s">
        <v>1623</v>
      </c>
      <c r="I457" s="26" t="s">
        <v>1624</v>
      </c>
      <c r="J457" s="23" t="s">
        <v>1820</v>
      </c>
      <c r="K457" s="23" t="s">
        <v>1821</v>
      </c>
      <c r="L457" s="23" t="s">
        <v>221</v>
      </c>
      <c r="M457" s="23" t="s">
        <v>58</v>
      </c>
      <c r="N457" s="23" t="s">
        <v>32</v>
      </c>
      <c r="O457" s="23" t="s">
        <v>197</v>
      </c>
      <c r="P457" s="23" t="s">
        <v>34</v>
      </c>
      <c r="Q457" s="27" t="str">
        <f>HYPERLINK("http://ovopark.oss-cn-hangzhou.aliyuncs.com/1_62_20220604221550_5508.jpeg","查看图片")</f>
        <v>查看图片</v>
      </c>
      <c r="R457" s="23" t="s">
        <v>35</v>
      </c>
      <c r="S457" s="23" t="s">
        <v>1822</v>
      </c>
      <c r="T457" s="23" t="s">
        <v>37</v>
      </c>
    </row>
    <row r="458" s="17" customFormat="1" customHeight="1" spans="1:41">
      <c r="A458" s="20">
        <v>379</v>
      </c>
      <c r="B458" s="20" t="s">
        <v>1823</v>
      </c>
      <c r="C458" s="23" t="s">
        <v>138</v>
      </c>
      <c r="D458" s="23" t="s">
        <v>257</v>
      </c>
      <c r="E458" s="23" t="s">
        <v>23</v>
      </c>
      <c r="F458" s="23" t="s">
        <v>24</v>
      </c>
      <c r="G458" s="23" t="s">
        <v>1824</v>
      </c>
      <c r="H458" s="23" t="s">
        <v>1623</v>
      </c>
      <c r="I458" s="26" t="s">
        <v>1624</v>
      </c>
      <c r="J458" s="23" t="s">
        <v>1825</v>
      </c>
      <c r="K458" s="23" t="s">
        <v>1826</v>
      </c>
      <c r="L458" s="23" t="s">
        <v>1827</v>
      </c>
      <c r="M458" s="25" t="s">
        <v>31</v>
      </c>
      <c r="N458" s="23" t="s">
        <v>32</v>
      </c>
      <c r="O458" s="23" t="s">
        <v>197</v>
      </c>
      <c r="P458" s="23" t="s">
        <v>34</v>
      </c>
      <c r="Q458" s="27" t="str">
        <f>HYPERLINK("http://ovopark.oss-cn-hangzhou.aliyuncs.com/2043_179345759166383_image_1654475837970.jpg","查看图片")</f>
        <v>查看图片</v>
      </c>
      <c r="R458" s="23" t="s">
        <v>35</v>
      </c>
      <c r="S458" s="23" t="s">
        <v>1828</v>
      </c>
      <c r="T458" s="23" t="s">
        <v>37</v>
      </c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1"/>
      <c r="AI458" s="20"/>
      <c r="AJ458" s="20"/>
      <c r="AK458" s="20"/>
      <c r="AL458" s="20"/>
      <c r="AM458" s="20"/>
      <c r="AN458" s="20"/>
      <c r="AO458" s="20"/>
    </row>
    <row r="459" s="17" customFormat="1" hidden="1" customHeight="1" spans="3:20">
      <c r="C459" s="23" t="s">
        <v>812</v>
      </c>
      <c r="D459" s="23" t="s">
        <v>1829</v>
      </c>
      <c r="E459" s="23" t="s">
        <v>23</v>
      </c>
      <c r="F459" s="23" t="s">
        <v>800</v>
      </c>
      <c r="G459" s="23" t="s">
        <v>1642</v>
      </c>
      <c r="H459" s="23" t="s">
        <v>1405</v>
      </c>
      <c r="I459" s="26" t="s">
        <v>567</v>
      </c>
      <c r="J459" s="23" t="s">
        <v>1830</v>
      </c>
      <c r="K459" s="23" t="s">
        <v>463</v>
      </c>
      <c r="L459" s="23" t="s">
        <v>1633</v>
      </c>
      <c r="M459" s="23" t="s">
        <v>58</v>
      </c>
      <c r="N459" s="23" t="s">
        <v>1644</v>
      </c>
      <c r="O459" s="23" t="s">
        <v>1644</v>
      </c>
      <c r="P459" s="23" t="s">
        <v>34</v>
      </c>
      <c r="Q459" s="23" t="s">
        <v>34</v>
      </c>
      <c r="R459" s="23" t="s">
        <v>60</v>
      </c>
      <c r="S459" s="23" t="s">
        <v>1831</v>
      </c>
      <c r="T459" s="23" t="s">
        <v>37</v>
      </c>
    </row>
    <row r="460" s="17" customFormat="1" hidden="1" customHeight="1" spans="3:20">
      <c r="C460" s="23" t="s">
        <v>812</v>
      </c>
      <c r="D460" s="23" t="s">
        <v>1832</v>
      </c>
      <c r="E460" s="23" t="s">
        <v>23</v>
      </c>
      <c r="F460" s="23" t="s">
        <v>800</v>
      </c>
      <c r="G460" s="23" t="s">
        <v>1642</v>
      </c>
      <c r="H460" s="23" t="s">
        <v>1405</v>
      </c>
      <c r="I460" s="26" t="s">
        <v>567</v>
      </c>
      <c r="J460" s="23" t="s">
        <v>1833</v>
      </c>
      <c r="K460" s="23" t="s">
        <v>463</v>
      </c>
      <c r="L460" s="23" t="s">
        <v>1633</v>
      </c>
      <c r="M460" s="23" t="s">
        <v>58</v>
      </c>
      <c r="N460" s="23" t="s">
        <v>1644</v>
      </c>
      <c r="O460" s="23" t="s">
        <v>1644</v>
      </c>
      <c r="P460" s="23" t="s">
        <v>34</v>
      </c>
      <c r="Q460" s="23" t="s">
        <v>34</v>
      </c>
      <c r="R460" s="23" t="s">
        <v>60</v>
      </c>
      <c r="S460" s="23" t="s">
        <v>1834</v>
      </c>
      <c r="T460" s="23" t="s">
        <v>37</v>
      </c>
    </row>
  </sheetData>
  <autoFilter ref="C1:T460">
    <filterColumn colId="10">
      <customFilters>
        <customFilter operator="equal" val="整改过期"/>
      </customFilters>
    </filterColumn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abSelected="1" workbookViewId="0">
      <selection activeCell="D11" sqref="D11"/>
    </sheetView>
  </sheetViews>
  <sheetFormatPr defaultColWidth="9" defaultRowHeight="13.5" outlineLevelCol="5"/>
  <cols>
    <col min="1" max="1" width="9.08333333333333"/>
    <col min="2" max="2" width="21.75" customWidth="1"/>
    <col min="3" max="3" width="10.875" customWidth="1"/>
    <col min="4" max="4" width="17.25"/>
    <col min="5" max="5" width="12.25" customWidth="1"/>
  </cols>
  <sheetData>
    <row r="1" spans="1:5">
      <c r="A1" t="s">
        <v>0</v>
      </c>
      <c r="B1" t="s">
        <v>1</v>
      </c>
      <c r="C1" t="s">
        <v>1835</v>
      </c>
      <c r="D1" t="s">
        <v>1836</v>
      </c>
      <c r="E1" t="s">
        <v>1837</v>
      </c>
    </row>
    <row r="2" spans="1:5">
      <c r="A2">
        <v>111219</v>
      </c>
      <c r="B2" t="s">
        <v>191</v>
      </c>
      <c r="C2" t="str">
        <f>VLOOKUP(A2,[1]Sheet1!$C$2:$E$142,3,0)</f>
        <v>西门一片</v>
      </c>
      <c r="D2">
        <v>19</v>
      </c>
      <c r="E2">
        <f>D2*5</f>
        <v>95</v>
      </c>
    </row>
    <row r="3" spans="1:5">
      <c r="A3">
        <v>513</v>
      </c>
      <c r="B3" t="s">
        <v>506</v>
      </c>
      <c r="C3" t="str">
        <f>VLOOKUP(A3,[1]Sheet1!$C$2:$E$142,3,0)</f>
        <v>西门一片</v>
      </c>
      <c r="D3">
        <v>18</v>
      </c>
      <c r="E3">
        <f t="shared" ref="E3:E46" si="0">D3*5</f>
        <v>90</v>
      </c>
    </row>
    <row r="4" spans="1:5">
      <c r="A4">
        <v>103198</v>
      </c>
      <c r="B4" t="s">
        <v>323</v>
      </c>
      <c r="C4" t="str">
        <f>VLOOKUP(A4,[1]Sheet1!$C$2:$E$142,3,0)</f>
        <v>西门一片</v>
      </c>
      <c r="D4">
        <v>18</v>
      </c>
      <c r="E4">
        <f t="shared" si="0"/>
        <v>90</v>
      </c>
    </row>
    <row r="5" spans="1:5">
      <c r="A5">
        <v>359</v>
      </c>
      <c r="B5" t="s">
        <v>565</v>
      </c>
      <c r="C5" t="str">
        <f>VLOOKUP(A5,[1]Sheet1!$C$2:$E$142,3,0)</f>
        <v>西门一片</v>
      </c>
      <c r="D5">
        <v>14</v>
      </c>
      <c r="E5">
        <f t="shared" si="0"/>
        <v>70</v>
      </c>
    </row>
    <row r="6" spans="1:5">
      <c r="A6">
        <v>727</v>
      </c>
      <c r="B6" t="s">
        <v>397</v>
      </c>
      <c r="C6" t="str">
        <f>VLOOKUP(A6,[1]Sheet1!$C$2:$E$142,3,0)</f>
        <v>西门一片</v>
      </c>
      <c r="D6">
        <v>11</v>
      </c>
      <c r="E6">
        <f t="shared" si="0"/>
        <v>55</v>
      </c>
    </row>
    <row r="7" spans="1:5">
      <c r="A7">
        <v>117310</v>
      </c>
      <c r="B7" t="s">
        <v>454</v>
      </c>
      <c r="C7" t="str">
        <f>VLOOKUP(A7,[1]Sheet1!$C$2:$E$142,3,0)</f>
        <v>西门一片</v>
      </c>
      <c r="D7">
        <v>11</v>
      </c>
      <c r="E7">
        <f t="shared" si="0"/>
        <v>55</v>
      </c>
    </row>
    <row r="8" spans="1:5">
      <c r="A8">
        <v>105267</v>
      </c>
      <c r="B8" t="s">
        <v>442</v>
      </c>
      <c r="C8" t="str">
        <f>VLOOKUP(A8,[1]Sheet1!$C$2:$E$142,3,0)</f>
        <v>西门一片</v>
      </c>
      <c r="D8">
        <v>9</v>
      </c>
      <c r="E8">
        <f t="shared" si="0"/>
        <v>45</v>
      </c>
    </row>
    <row r="9" spans="1:5">
      <c r="A9">
        <v>365</v>
      </c>
      <c r="B9" t="s">
        <v>217</v>
      </c>
      <c r="C9" t="str">
        <f>VLOOKUP(A9,[1]Sheet1!$C$2:$E$142,3,0)</f>
        <v>西门一片</v>
      </c>
      <c r="D9">
        <v>6</v>
      </c>
      <c r="E9">
        <f t="shared" si="0"/>
        <v>30</v>
      </c>
    </row>
    <row r="10" spans="1:5">
      <c r="A10">
        <v>582</v>
      </c>
      <c r="B10" t="s">
        <v>495</v>
      </c>
      <c r="C10" t="str">
        <f>VLOOKUP(A10,[1]Sheet1!$C$2:$E$142,3,0)</f>
        <v>西门一片</v>
      </c>
      <c r="D10">
        <v>6</v>
      </c>
      <c r="E10">
        <f t="shared" si="0"/>
        <v>30</v>
      </c>
    </row>
    <row r="11" spans="1:5">
      <c r="A11">
        <v>745</v>
      </c>
      <c r="B11" t="s">
        <v>771</v>
      </c>
      <c r="C11" t="str">
        <f>VLOOKUP(A11,[1]Sheet1!$C$2:$E$142,3,0)</f>
        <v>西门一片</v>
      </c>
      <c r="D11">
        <v>6</v>
      </c>
      <c r="E11">
        <f t="shared" si="0"/>
        <v>30</v>
      </c>
    </row>
    <row r="12" spans="1:5">
      <c r="A12">
        <v>106569</v>
      </c>
      <c r="B12" t="s">
        <v>353</v>
      </c>
      <c r="C12" t="str">
        <f>VLOOKUP(A12,[1]Sheet1!$C$2:$E$142,3,0)</f>
        <v>西门一片</v>
      </c>
      <c r="D12">
        <v>6</v>
      </c>
      <c r="E12">
        <f t="shared" si="0"/>
        <v>30</v>
      </c>
    </row>
    <row r="13" spans="1:5">
      <c r="A13">
        <v>117491</v>
      </c>
      <c r="B13" t="s">
        <v>425</v>
      </c>
      <c r="C13" t="str">
        <f>VLOOKUP(A13,[1]Sheet1!$C$2:$E$142,3,0)</f>
        <v>西门一片</v>
      </c>
      <c r="D13">
        <v>6</v>
      </c>
      <c r="E13">
        <f t="shared" si="0"/>
        <v>30</v>
      </c>
    </row>
    <row r="14" spans="1:5">
      <c r="A14">
        <v>105910</v>
      </c>
      <c r="B14" t="s">
        <v>489</v>
      </c>
      <c r="C14" t="str">
        <f>VLOOKUP(A14,[1]Sheet1!$C$2:$E$142,3,0)</f>
        <v>西门一片</v>
      </c>
      <c r="D14">
        <v>3</v>
      </c>
      <c r="E14">
        <f t="shared" si="0"/>
        <v>15</v>
      </c>
    </row>
    <row r="15" spans="1:5">
      <c r="A15">
        <v>357</v>
      </c>
      <c r="B15" t="s">
        <v>416</v>
      </c>
      <c r="C15" t="str">
        <f>VLOOKUP(A15,[1]Sheet1!$C$2:$E$142,3,0)</f>
        <v>西门一片</v>
      </c>
      <c r="D15">
        <v>2</v>
      </c>
      <c r="E15">
        <f t="shared" si="0"/>
        <v>10</v>
      </c>
    </row>
    <row r="16" spans="1:5">
      <c r="A16">
        <v>102565</v>
      </c>
      <c r="B16" t="s">
        <v>362</v>
      </c>
      <c r="C16" t="str">
        <f>VLOOKUP(A16,[1]Sheet1!$C$2:$E$142,3,0)</f>
        <v>西门一片</v>
      </c>
      <c r="D16">
        <v>2</v>
      </c>
      <c r="E16">
        <f t="shared" si="0"/>
        <v>10</v>
      </c>
    </row>
    <row r="17" spans="1:5">
      <c r="A17">
        <v>379</v>
      </c>
      <c r="B17" t="s">
        <v>1823</v>
      </c>
      <c r="C17" t="str">
        <f>VLOOKUP(A17,[1]Sheet1!$C$2:$E$142,3,0)</f>
        <v>西门一片</v>
      </c>
      <c r="D17">
        <v>1</v>
      </c>
      <c r="E17">
        <f t="shared" si="0"/>
        <v>5</v>
      </c>
    </row>
    <row r="18" spans="1:5">
      <c r="A18">
        <v>118151</v>
      </c>
      <c r="B18" t="s">
        <v>753</v>
      </c>
      <c r="C18" t="str">
        <f>VLOOKUP(A18,[1]Sheet1!$C$2:$E$142,3,0)</f>
        <v>西门一片</v>
      </c>
      <c r="D18">
        <v>1</v>
      </c>
      <c r="E18">
        <f t="shared" si="0"/>
        <v>5</v>
      </c>
    </row>
    <row r="19" spans="1:5">
      <c r="A19">
        <v>738</v>
      </c>
      <c r="B19" t="s">
        <v>278</v>
      </c>
      <c r="C19" t="str">
        <f>VLOOKUP(A19,[1]Sheet1!$C$2:$E$142,3,0)</f>
        <v>都江堰片</v>
      </c>
      <c r="D19">
        <v>21</v>
      </c>
      <c r="E19">
        <f t="shared" si="0"/>
        <v>105</v>
      </c>
    </row>
    <row r="20" spans="1:5">
      <c r="A20">
        <v>710</v>
      </c>
      <c r="B20" t="s">
        <v>137</v>
      </c>
      <c r="C20" t="str">
        <f>VLOOKUP(A20,[1]Sheet1!$C$2:$E$142,3,0)</f>
        <v>都江堰片</v>
      </c>
      <c r="D20">
        <v>12</v>
      </c>
      <c r="E20">
        <f t="shared" si="0"/>
        <v>60</v>
      </c>
    </row>
    <row r="21" spans="1:5">
      <c r="A21">
        <v>704</v>
      </c>
      <c r="B21" t="s">
        <v>469</v>
      </c>
      <c r="C21" t="str">
        <f>VLOOKUP(A21,[1]Sheet1!$C$2:$E$142,3,0)</f>
        <v>都江堰片</v>
      </c>
      <c r="D21">
        <v>5</v>
      </c>
      <c r="E21">
        <f t="shared" si="0"/>
        <v>25</v>
      </c>
    </row>
    <row r="22" spans="1:5">
      <c r="A22">
        <v>387</v>
      </c>
      <c r="B22" t="s">
        <v>1168</v>
      </c>
      <c r="C22" t="str">
        <f>VLOOKUP(A22,[1]Sheet1!$C$2:$E$142,3,0)</f>
        <v>东南片区</v>
      </c>
      <c r="D22">
        <v>3</v>
      </c>
      <c r="E22">
        <f t="shared" si="0"/>
        <v>15</v>
      </c>
    </row>
    <row r="23" spans="1:5">
      <c r="A23">
        <v>377</v>
      </c>
      <c r="B23" t="s">
        <v>1621</v>
      </c>
      <c r="C23" t="str">
        <f>VLOOKUP(A23,[1]Sheet1!$C$2:$E$142,3,0)</f>
        <v>东南片区</v>
      </c>
      <c r="D23">
        <v>1</v>
      </c>
      <c r="E23">
        <f t="shared" si="0"/>
        <v>5</v>
      </c>
    </row>
    <row r="24" spans="1:5">
      <c r="A24">
        <v>571</v>
      </c>
      <c r="B24" t="s">
        <v>127</v>
      </c>
      <c r="C24" t="str">
        <f>VLOOKUP(A24,[1]Sheet1!$C$2:$E$142,3,0)</f>
        <v>东南片区</v>
      </c>
      <c r="D24">
        <v>1</v>
      </c>
      <c r="E24">
        <f t="shared" si="0"/>
        <v>5</v>
      </c>
    </row>
    <row r="25" spans="1:5">
      <c r="A25">
        <v>52</v>
      </c>
      <c r="B25" t="s">
        <v>121</v>
      </c>
      <c r="C25" t="str">
        <f>VLOOKUP(A25,[1]Sheet1!$C$2:$E$142,3,0)</f>
        <v>崇州片</v>
      </c>
      <c r="D25">
        <v>2</v>
      </c>
      <c r="E25">
        <f t="shared" si="0"/>
        <v>10</v>
      </c>
    </row>
    <row r="26" spans="1:5">
      <c r="A26">
        <v>54</v>
      </c>
      <c r="B26" t="s">
        <v>317</v>
      </c>
      <c r="C26" t="str">
        <f>VLOOKUP(A26,[1]Sheet1!$C$2:$E$142,3,0)</f>
        <v>崇州片</v>
      </c>
      <c r="D26">
        <v>2</v>
      </c>
      <c r="E26">
        <f t="shared" si="0"/>
        <v>10</v>
      </c>
    </row>
    <row r="27" spans="1:5">
      <c r="A27">
        <v>367</v>
      </c>
      <c r="B27" t="s">
        <v>311</v>
      </c>
      <c r="C27" t="str">
        <f>VLOOKUP(A27,[1]Sheet1!$C$2:$E$142,3,0)</f>
        <v>崇州片</v>
      </c>
      <c r="D27">
        <v>2</v>
      </c>
      <c r="E27">
        <f t="shared" si="0"/>
        <v>10</v>
      </c>
    </row>
    <row r="28" spans="1:5">
      <c r="A28">
        <v>754</v>
      </c>
      <c r="B28" t="s">
        <v>38</v>
      </c>
      <c r="C28" t="str">
        <f>VLOOKUP(A28,[1]Sheet1!$C$2:$E$142,3,0)</f>
        <v>崇州片</v>
      </c>
      <c r="D28">
        <v>2</v>
      </c>
      <c r="E28">
        <f t="shared" si="0"/>
        <v>10</v>
      </c>
    </row>
    <row r="29" spans="1:5">
      <c r="A29">
        <v>122176</v>
      </c>
      <c r="B29" t="s">
        <v>20</v>
      </c>
      <c r="C29" t="str">
        <f>VLOOKUP(A29,[1]Sheet1!$C$2:$E$142,3,0)</f>
        <v>崇州片</v>
      </c>
      <c r="D29">
        <v>1</v>
      </c>
      <c r="E29">
        <f t="shared" si="0"/>
        <v>5</v>
      </c>
    </row>
    <row r="30" spans="1:5">
      <c r="A30">
        <v>116482</v>
      </c>
      <c r="B30" t="s">
        <v>720</v>
      </c>
      <c r="C30" t="str">
        <f>VLOOKUP(A30,[1]Sheet1!$C$2:$E$142,3,0)</f>
        <v>城中片</v>
      </c>
      <c r="D30">
        <v>5</v>
      </c>
      <c r="E30">
        <f t="shared" si="0"/>
        <v>25</v>
      </c>
    </row>
    <row r="31" spans="1:5">
      <c r="A31">
        <v>113008</v>
      </c>
      <c r="B31" t="s">
        <v>1629</v>
      </c>
      <c r="C31" t="str">
        <f>VLOOKUP(A31,[1]Sheet1!$C$2:$E$142,3,0)</f>
        <v>城中片</v>
      </c>
      <c r="D31">
        <v>5</v>
      </c>
      <c r="E31">
        <f t="shared" si="0"/>
        <v>25</v>
      </c>
    </row>
    <row r="32" spans="1:5">
      <c r="A32">
        <v>117184</v>
      </c>
      <c r="B32" t="s">
        <v>875</v>
      </c>
      <c r="C32" t="str">
        <f>VLOOKUP(A32,[1]Sheet1!$C$2:$E$142,3,0)</f>
        <v>城中片</v>
      </c>
      <c r="D32">
        <v>4</v>
      </c>
      <c r="E32">
        <f t="shared" si="0"/>
        <v>20</v>
      </c>
    </row>
    <row r="33" spans="1:5">
      <c r="A33">
        <v>373</v>
      </c>
      <c r="B33" t="s">
        <v>1708</v>
      </c>
      <c r="C33" t="str">
        <f>VLOOKUP(A33,[1]Sheet1!$C$2:$E$142,3,0)</f>
        <v>城中片</v>
      </c>
      <c r="D33">
        <v>3</v>
      </c>
      <c r="E33">
        <f t="shared" si="0"/>
        <v>15</v>
      </c>
    </row>
    <row r="34" spans="1:5">
      <c r="A34">
        <v>724</v>
      </c>
      <c r="B34" t="s">
        <v>1760</v>
      </c>
      <c r="C34" t="str">
        <f>VLOOKUP(A34,[1]Sheet1!$C$2:$E$142,3,0)</f>
        <v>城中片</v>
      </c>
      <c r="D34">
        <v>3</v>
      </c>
      <c r="E34">
        <f t="shared" si="0"/>
        <v>15</v>
      </c>
    </row>
    <row r="35" spans="1:5">
      <c r="A35">
        <v>744</v>
      </c>
      <c r="B35" t="s">
        <v>1743</v>
      </c>
      <c r="C35" t="str">
        <f>VLOOKUP(A35,[1]Sheet1!$C$2:$E$142,3,0)</f>
        <v>城中片</v>
      </c>
      <c r="D35">
        <v>3</v>
      </c>
      <c r="E35">
        <f t="shared" si="0"/>
        <v>15</v>
      </c>
    </row>
    <row r="36" spans="1:5">
      <c r="A36">
        <v>113299</v>
      </c>
      <c r="B36" t="s">
        <v>1720</v>
      </c>
      <c r="C36" t="str">
        <f>VLOOKUP(A36,[1]Sheet1!$C$2:$E$142,3,0)</f>
        <v>城中片</v>
      </c>
      <c r="D36">
        <v>2</v>
      </c>
      <c r="E36">
        <f t="shared" si="0"/>
        <v>10</v>
      </c>
    </row>
    <row r="37" spans="1:5">
      <c r="A37">
        <v>337</v>
      </c>
      <c r="B37" t="s">
        <v>1755</v>
      </c>
      <c r="C37" t="str">
        <f>VLOOKUP(A37,[1]Sheet1!$C$2:$E$142,3,0)</f>
        <v>城中片</v>
      </c>
      <c r="D37">
        <v>1</v>
      </c>
      <c r="E37">
        <f t="shared" si="0"/>
        <v>5</v>
      </c>
    </row>
    <row r="38" spans="1:5">
      <c r="A38">
        <v>114685</v>
      </c>
      <c r="B38" t="s">
        <v>1181</v>
      </c>
      <c r="C38" t="str">
        <f>VLOOKUP(A38,[1]Sheet1!$C$2:$E$142,3,0)</f>
        <v>城中片</v>
      </c>
      <c r="D38">
        <v>1</v>
      </c>
      <c r="E38">
        <f t="shared" si="0"/>
        <v>5</v>
      </c>
    </row>
    <row r="39" spans="1:5">
      <c r="A39">
        <v>123007</v>
      </c>
      <c r="B39" t="s">
        <v>460</v>
      </c>
      <c r="C39" t="str">
        <f>VLOOKUP(A39,[1]Sheet1!$C$2:$E$142,3,0)</f>
        <v>城郊一片</v>
      </c>
      <c r="D39">
        <v>4</v>
      </c>
      <c r="E39">
        <f t="shared" si="0"/>
        <v>20</v>
      </c>
    </row>
    <row r="40" spans="1:5">
      <c r="A40">
        <v>585</v>
      </c>
      <c r="B40" t="s">
        <v>1265</v>
      </c>
      <c r="C40" t="str">
        <f>VLOOKUP(A40,[1]Sheet1!$C$2:$E$142,3,0)</f>
        <v>北门片</v>
      </c>
      <c r="D40">
        <v>10</v>
      </c>
      <c r="E40">
        <f t="shared" si="0"/>
        <v>50</v>
      </c>
    </row>
    <row r="41" spans="1:5">
      <c r="A41">
        <v>709</v>
      </c>
      <c r="B41" t="s">
        <v>856</v>
      </c>
      <c r="C41" t="str">
        <f>VLOOKUP(A41,[1]Sheet1!$C$2:$E$142,3,0)</f>
        <v>北门片</v>
      </c>
      <c r="D41">
        <v>10</v>
      </c>
      <c r="E41">
        <f t="shared" si="0"/>
        <v>50</v>
      </c>
    </row>
    <row r="42" spans="1:5">
      <c r="A42">
        <v>122906</v>
      </c>
      <c r="B42" t="s">
        <v>1016</v>
      </c>
      <c r="C42" t="str">
        <f>VLOOKUP(A42,[1]Sheet1!$C$2:$E$142,3,0)</f>
        <v>北门片</v>
      </c>
      <c r="D42">
        <v>10</v>
      </c>
      <c r="E42">
        <f t="shared" si="0"/>
        <v>50</v>
      </c>
    </row>
    <row r="43" spans="1:5">
      <c r="A43">
        <v>311</v>
      </c>
      <c r="B43" t="s">
        <v>1110</v>
      </c>
      <c r="C43" t="str">
        <f>VLOOKUP(A43,[1]Sheet1!$C$2:$E$142,3,0)</f>
        <v>北门片</v>
      </c>
      <c r="D43">
        <v>7</v>
      </c>
      <c r="E43">
        <f t="shared" si="0"/>
        <v>35</v>
      </c>
    </row>
    <row r="44" spans="1:5">
      <c r="A44">
        <v>730</v>
      </c>
      <c r="B44" t="s">
        <v>1137</v>
      </c>
      <c r="C44" t="str">
        <f>VLOOKUP(A44,[1]Sheet1!$C$2:$E$142,3,0)</f>
        <v>北门片</v>
      </c>
      <c r="D44">
        <v>7</v>
      </c>
      <c r="E44">
        <f t="shared" si="0"/>
        <v>35</v>
      </c>
    </row>
    <row r="45" spans="1:5">
      <c r="A45">
        <v>119262</v>
      </c>
      <c r="B45" t="s">
        <v>1238</v>
      </c>
      <c r="C45" t="str">
        <f>VLOOKUP(A45,[1]Sheet1!$C$2:$E$142,3,0)</f>
        <v>北门片</v>
      </c>
      <c r="D45">
        <v>5</v>
      </c>
      <c r="E45">
        <f t="shared" si="0"/>
        <v>25</v>
      </c>
    </row>
    <row r="46" spans="1:5">
      <c r="A46">
        <v>581</v>
      </c>
      <c r="B46" t="s">
        <v>1232</v>
      </c>
      <c r="C46" t="str">
        <f>VLOOKUP(A46,[1]Sheet1!$C$2:$E$142,3,0)</f>
        <v>北门片</v>
      </c>
      <c r="D46">
        <v>3</v>
      </c>
      <c r="E46">
        <f t="shared" si="0"/>
        <v>15</v>
      </c>
    </row>
    <row r="47" spans="3:6">
      <c r="C47" s="14" t="s">
        <v>1838</v>
      </c>
      <c r="D47" s="14">
        <f>SUM(D2:D46)</f>
        <v>274</v>
      </c>
      <c r="E47" s="14">
        <f>SUM(E2:E46)</f>
        <v>1370</v>
      </c>
      <c r="F47" s="15"/>
    </row>
    <row r="48" spans="3:5">
      <c r="C48" s="16"/>
      <c r="D48" s="16"/>
      <c r="E48" s="16"/>
    </row>
  </sheetData>
  <autoFilter ref="A1:D46">
    <extLst/>
  </autoFilter>
  <sortState ref="A2:E46">
    <sortCondition ref="C2" descending="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5"/>
  <sheetViews>
    <sheetView workbookViewId="0">
      <selection activeCell="D6" sqref="D6"/>
    </sheetView>
  </sheetViews>
  <sheetFormatPr defaultColWidth="9" defaultRowHeight="69" customHeight="1"/>
  <cols>
    <col min="1" max="1" width="8.125" style="1" customWidth="1"/>
    <col min="2" max="2" width="23.375" style="1" customWidth="1"/>
    <col min="3" max="3" width="32" style="1" customWidth="1"/>
    <col min="4" max="4" width="41.5" style="2" customWidth="1"/>
    <col min="5" max="5" width="12.625" style="1" customWidth="1"/>
    <col min="6" max="6" width="9" style="1"/>
    <col min="7" max="7" width="22.125" style="2" customWidth="1"/>
    <col min="8" max="8" width="15.375" style="1" customWidth="1"/>
    <col min="9" max="9" width="21" style="3" customWidth="1"/>
    <col min="10" max="10" width="21.75" style="1" customWidth="1"/>
    <col min="11" max="11" width="21.5" style="1" customWidth="1"/>
    <col min="12" max="18" width="9" style="1"/>
    <col min="19" max="19" width="53.625" style="2" customWidth="1"/>
    <col min="20" max="20" width="21" style="1" customWidth="1"/>
  </cols>
  <sheetData>
    <row r="1" customHeight="1" spans="1:21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5" t="s">
        <v>5</v>
      </c>
      <c r="G1" s="6" t="s">
        <v>6</v>
      </c>
      <c r="H1" s="5" t="s">
        <v>7</v>
      </c>
      <c r="I1" s="10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6" t="s">
        <v>18</v>
      </c>
      <c r="T1" s="5" t="s">
        <v>19</v>
      </c>
      <c r="U1" s="13"/>
    </row>
    <row r="2" customHeight="1" spans="1:20">
      <c r="A2" s="7">
        <v>122176</v>
      </c>
      <c r="B2" s="7" t="s">
        <v>20</v>
      </c>
      <c r="C2" s="7" t="s">
        <v>21</v>
      </c>
      <c r="D2" s="8" t="s">
        <v>22</v>
      </c>
      <c r="E2" s="7" t="s">
        <v>23</v>
      </c>
      <c r="F2" s="7" t="s">
        <v>24</v>
      </c>
      <c r="G2" s="8" t="s">
        <v>25</v>
      </c>
      <c r="H2" s="7" t="s">
        <v>26</v>
      </c>
      <c r="I2" s="11" t="s">
        <v>27</v>
      </c>
      <c r="J2" s="7" t="s">
        <v>28</v>
      </c>
      <c r="K2" s="7" t="s">
        <v>29</v>
      </c>
      <c r="L2" s="7" t="s">
        <v>30</v>
      </c>
      <c r="M2" s="12" t="s">
        <v>31</v>
      </c>
      <c r="N2" s="7" t="s">
        <v>32</v>
      </c>
      <c r="O2" s="7" t="s">
        <v>33</v>
      </c>
      <c r="P2" s="7" t="s">
        <v>34</v>
      </c>
      <c r="Q2" s="7" t="s">
        <v>34</v>
      </c>
      <c r="R2" s="7" t="s">
        <v>35</v>
      </c>
      <c r="S2" s="8" t="s">
        <v>36</v>
      </c>
      <c r="T2" s="7" t="s">
        <v>37</v>
      </c>
    </row>
    <row r="3" customHeight="1" spans="1:20">
      <c r="A3" s="9">
        <v>754</v>
      </c>
      <c r="B3" s="9" t="s">
        <v>38</v>
      </c>
      <c r="C3" s="7" t="s">
        <v>21</v>
      </c>
      <c r="D3" s="8" t="s">
        <v>22</v>
      </c>
      <c r="E3" s="7" t="s">
        <v>23</v>
      </c>
      <c r="F3" s="7" t="s">
        <v>24</v>
      </c>
      <c r="G3" s="8" t="s">
        <v>39</v>
      </c>
      <c r="H3" s="7" t="s">
        <v>26</v>
      </c>
      <c r="I3" s="11" t="s">
        <v>27</v>
      </c>
      <c r="J3" s="7" t="s">
        <v>40</v>
      </c>
      <c r="K3" s="7" t="s">
        <v>41</v>
      </c>
      <c r="L3" s="7" t="s">
        <v>42</v>
      </c>
      <c r="M3" s="12" t="s">
        <v>31</v>
      </c>
      <c r="N3" s="7" t="s">
        <v>32</v>
      </c>
      <c r="O3" s="7" t="s">
        <v>33</v>
      </c>
      <c r="P3" s="7" t="s">
        <v>34</v>
      </c>
      <c r="Q3" s="7" t="s">
        <v>34</v>
      </c>
      <c r="R3" s="7" t="s">
        <v>35</v>
      </c>
      <c r="S3" s="8" t="s">
        <v>43</v>
      </c>
      <c r="T3" s="7" t="s">
        <v>37</v>
      </c>
    </row>
    <row r="4" customHeight="1" spans="1:20">
      <c r="A4" s="7">
        <v>754</v>
      </c>
      <c r="B4" s="7" t="s">
        <v>38</v>
      </c>
      <c r="C4" s="7" t="s">
        <v>21</v>
      </c>
      <c r="D4" s="8" t="s">
        <v>22</v>
      </c>
      <c r="E4" s="7" t="s">
        <v>23</v>
      </c>
      <c r="F4" s="7" t="s">
        <v>24</v>
      </c>
      <c r="G4" s="8" t="s">
        <v>44</v>
      </c>
      <c r="H4" s="7" t="s">
        <v>45</v>
      </c>
      <c r="I4" s="11" t="s">
        <v>46</v>
      </c>
      <c r="J4" s="7" t="s">
        <v>47</v>
      </c>
      <c r="K4" s="7" t="s">
        <v>48</v>
      </c>
      <c r="L4" s="7" t="s">
        <v>42</v>
      </c>
      <c r="M4" s="12" t="s">
        <v>31</v>
      </c>
      <c r="N4" s="7" t="s">
        <v>32</v>
      </c>
      <c r="O4" s="7" t="s">
        <v>33</v>
      </c>
      <c r="P4" s="7" t="s">
        <v>34</v>
      </c>
      <c r="Q4" s="7" t="s">
        <v>34</v>
      </c>
      <c r="R4" s="7" t="s">
        <v>35</v>
      </c>
      <c r="S4" s="8" t="s">
        <v>49</v>
      </c>
      <c r="T4" s="7" t="s">
        <v>37</v>
      </c>
    </row>
    <row r="5" customHeight="1" spans="1:20">
      <c r="A5" s="7">
        <v>52</v>
      </c>
      <c r="B5" s="7" t="s">
        <v>121</v>
      </c>
      <c r="C5" s="7" t="s">
        <v>21</v>
      </c>
      <c r="D5" s="8" t="s">
        <v>22</v>
      </c>
      <c r="E5" s="7" t="s">
        <v>23</v>
      </c>
      <c r="F5" s="7" t="s">
        <v>24</v>
      </c>
      <c r="G5" s="8" t="s">
        <v>122</v>
      </c>
      <c r="H5" s="7" t="s">
        <v>26</v>
      </c>
      <c r="I5" s="11" t="s">
        <v>27</v>
      </c>
      <c r="J5" s="7" t="s">
        <v>123</v>
      </c>
      <c r="K5" s="7" t="s">
        <v>124</v>
      </c>
      <c r="L5" s="7" t="s">
        <v>125</v>
      </c>
      <c r="M5" s="12" t="s">
        <v>31</v>
      </c>
      <c r="N5" s="7" t="s">
        <v>32</v>
      </c>
      <c r="O5" s="7" t="s">
        <v>33</v>
      </c>
      <c r="P5" s="7" t="s">
        <v>34</v>
      </c>
      <c r="Q5" s="7" t="s">
        <v>1839</v>
      </c>
      <c r="R5" s="7" t="s">
        <v>35</v>
      </c>
      <c r="S5" s="8" t="s">
        <v>126</v>
      </c>
      <c r="T5" s="7" t="s">
        <v>37</v>
      </c>
    </row>
    <row r="6" customHeight="1" spans="1:20">
      <c r="A6" s="7">
        <v>571</v>
      </c>
      <c r="B6" s="7" t="s">
        <v>127</v>
      </c>
      <c r="C6" s="7" t="s">
        <v>128</v>
      </c>
      <c r="D6" s="8" t="s">
        <v>128</v>
      </c>
      <c r="E6" s="7" t="s">
        <v>23</v>
      </c>
      <c r="F6" s="7" t="s">
        <v>24</v>
      </c>
      <c r="G6" s="8" t="s">
        <v>129</v>
      </c>
      <c r="H6" s="7" t="s">
        <v>130</v>
      </c>
      <c r="I6" s="11" t="s">
        <v>131</v>
      </c>
      <c r="J6" s="7" t="s">
        <v>132</v>
      </c>
      <c r="K6" s="7" t="s">
        <v>133</v>
      </c>
      <c r="L6" s="7" t="s">
        <v>134</v>
      </c>
      <c r="M6" s="12" t="s">
        <v>31</v>
      </c>
      <c r="N6" s="7" t="s">
        <v>32</v>
      </c>
      <c r="O6" s="7" t="s">
        <v>134</v>
      </c>
      <c r="P6" s="7" t="s">
        <v>1839</v>
      </c>
      <c r="Q6" s="7" t="s">
        <v>1839</v>
      </c>
      <c r="R6" s="7" t="s">
        <v>135</v>
      </c>
      <c r="S6" s="8" t="s">
        <v>136</v>
      </c>
      <c r="T6" s="7" t="s">
        <v>37</v>
      </c>
    </row>
    <row r="7" customHeight="1" spans="1:20">
      <c r="A7" s="7">
        <v>710</v>
      </c>
      <c r="B7" s="7" t="s">
        <v>137</v>
      </c>
      <c r="C7" s="7" t="s">
        <v>138</v>
      </c>
      <c r="D7" s="8" t="s">
        <v>139</v>
      </c>
      <c r="E7" s="7" t="s">
        <v>23</v>
      </c>
      <c r="F7" s="7" t="s">
        <v>24</v>
      </c>
      <c r="G7" s="8" t="s">
        <v>140</v>
      </c>
      <c r="H7" s="7" t="s">
        <v>27</v>
      </c>
      <c r="I7" s="11" t="s">
        <v>141</v>
      </c>
      <c r="J7" s="7" t="s">
        <v>142</v>
      </c>
      <c r="K7" s="7" t="s">
        <v>143</v>
      </c>
      <c r="L7" s="7" t="s">
        <v>144</v>
      </c>
      <c r="M7" s="12" t="s">
        <v>31</v>
      </c>
      <c r="N7" s="7" t="s">
        <v>32</v>
      </c>
      <c r="O7" s="7" t="s">
        <v>145</v>
      </c>
      <c r="P7" s="7" t="s">
        <v>34</v>
      </c>
      <c r="Q7" s="7" t="s">
        <v>34</v>
      </c>
      <c r="R7" s="7" t="s">
        <v>35</v>
      </c>
      <c r="S7" s="8" t="s">
        <v>146</v>
      </c>
      <c r="T7" s="7" t="s">
        <v>37</v>
      </c>
    </row>
    <row r="8" customHeight="1" spans="1:20">
      <c r="A8" s="7">
        <v>710</v>
      </c>
      <c r="B8" s="7" t="s">
        <v>137</v>
      </c>
      <c r="C8" s="7" t="s">
        <v>138</v>
      </c>
      <c r="D8" s="8" t="s">
        <v>147</v>
      </c>
      <c r="E8" s="7" t="s">
        <v>23</v>
      </c>
      <c r="F8" s="7" t="s">
        <v>24</v>
      </c>
      <c r="G8" s="8" t="s">
        <v>148</v>
      </c>
      <c r="H8" s="7" t="s">
        <v>27</v>
      </c>
      <c r="I8" s="11" t="s">
        <v>141</v>
      </c>
      <c r="J8" s="7" t="s">
        <v>149</v>
      </c>
      <c r="K8" s="7" t="s">
        <v>150</v>
      </c>
      <c r="L8" s="7" t="s">
        <v>144</v>
      </c>
      <c r="M8" s="12" t="s">
        <v>31</v>
      </c>
      <c r="N8" s="7" t="s">
        <v>32</v>
      </c>
      <c r="O8" s="7" t="s">
        <v>145</v>
      </c>
      <c r="P8" s="7" t="s">
        <v>34</v>
      </c>
      <c r="Q8" s="7" t="s">
        <v>34</v>
      </c>
      <c r="R8" s="7" t="s">
        <v>35</v>
      </c>
      <c r="S8" s="8" t="s">
        <v>151</v>
      </c>
      <c r="T8" s="7" t="s">
        <v>37</v>
      </c>
    </row>
    <row r="9" customHeight="1" spans="1:20">
      <c r="A9" s="7">
        <v>710</v>
      </c>
      <c r="B9" s="7" t="s">
        <v>137</v>
      </c>
      <c r="C9" s="7" t="s">
        <v>138</v>
      </c>
      <c r="D9" s="8" t="s">
        <v>152</v>
      </c>
      <c r="E9" s="7" t="s">
        <v>23</v>
      </c>
      <c r="F9" s="7" t="s">
        <v>24</v>
      </c>
      <c r="G9" s="8" t="s">
        <v>148</v>
      </c>
      <c r="H9" s="7" t="s">
        <v>27</v>
      </c>
      <c r="I9" s="11" t="s">
        <v>141</v>
      </c>
      <c r="J9" s="7" t="s">
        <v>153</v>
      </c>
      <c r="K9" s="7" t="s">
        <v>154</v>
      </c>
      <c r="L9" s="7" t="s">
        <v>144</v>
      </c>
      <c r="M9" s="12" t="s">
        <v>31</v>
      </c>
      <c r="N9" s="7" t="s">
        <v>32</v>
      </c>
      <c r="O9" s="7" t="s">
        <v>145</v>
      </c>
      <c r="P9" s="7" t="s">
        <v>34</v>
      </c>
      <c r="Q9" s="7" t="s">
        <v>34</v>
      </c>
      <c r="R9" s="7" t="s">
        <v>35</v>
      </c>
      <c r="S9" s="8" t="s">
        <v>155</v>
      </c>
      <c r="T9" s="7" t="s">
        <v>37</v>
      </c>
    </row>
    <row r="10" customHeight="1" spans="1:20">
      <c r="A10" s="7">
        <v>710</v>
      </c>
      <c r="B10" s="7" t="s">
        <v>137</v>
      </c>
      <c r="C10" s="7" t="s">
        <v>138</v>
      </c>
      <c r="D10" s="8" t="s">
        <v>156</v>
      </c>
      <c r="E10" s="7" t="s">
        <v>23</v>
      </c>
      <c r="F10" s="7" t="s">
        <v>24</v>
      </c>
      <c r="G10" s="8" t="s">
        <v>157</v>
      </c>
      <c r="H10" s="7" t="s">
        <v>27</v>
      </c>
      <c r="I10" s="11" t="s">
        <v>141</v>
      </c>
      <c r="J10" s="7" t="s">
        <v>158</v>
      </c>
      <c r="K10" s="7" t="s">
        <v>159</v>
      </c>
      <c r="L10" s="7" t="s">
        <v>144</v>
      </c>
      <c r="M10" s="12" t="s">
        <v>31</v>
      </c>
      <c r="N10" s="7" t="s">
        <v>32</v>
      </c>
      <c r="O10" s="7" t="s">
        <v>145</v>
      </c>
      <c r="P10" s="7" t="s">
        <v>34</v>
      </c>
      <c r="Q10" s="7" t="s">
        <v>34</v>
      </c>
      <c r="R10" s="7" t="s">
        <v>35</v>
      </c>
      <c r="S10" s="8" t="s">
        <v>160</v>
      </c>
      <c r="T10" s="7" t="s">
        <v>37</v>
      </c>
    </row>
    <row r="11" customHeight="1" spans="1:20">
      <c r="A11" s="7">
        <v>710</v>
      </c>
      <c r="B11" s="7" t="s">
        <v>137</v>
      </c>
      <c r="C11" s="7" t="s">
        <v>138</v>
      </c>
      <c r="D11" s="8" t="s">
        <v>161</v>
      </c>
      <c r="E11" s="7" t="s">
        <v>23</v>
      </c>
      <c r="F11" s="7" t="s">
        <v>24</v>
      </c>
      <c r="G11" s="8" t="s">
        <v>157</v>
      </c>
      <c r="H11" s="7" t="s">
        <v>27</v>
      </c>
      <c r="I11" s="11" t="s">
        <v>141</v>
      </c>
      <c r="J11" s="7" t="s">
        <v>162</v>
      </c>
      <c r="K11" s="7" t="s">
        <v>163</v>
      </c>
      <c r="L11" s="7" t="s">
        <v>144</v>
      </c>
      <c r="M11" s="12" t="s">
        <v>31</v>
      </c>
      <c r="N11" s="7" t="s">
        <v>32</v>
      </c>
      <c r="O11" s="7" t="s">
        <v>145</v>
      </c>
      <c r="P11" s="7" t="s">
        <v>34</v>
      </c>
      <c r="Q11" s="7" t="s">
        <v>34</v>
      </c>
      <c r="R11" s="7" t="s">
        <v>35</v>
      </c>
      <c r="S11" s="8" t="s">
        <v>164</v>
      </c>
      <c r="T11" s="7" t="s">
        <v>37</v>
      </c>
    </row>
    <row r="12" customHeight="1" spans="1:20">
      <c r="A12" s="7">
        <v>710</v>
      </c>
      <c r="B12" s="7" t="s">
        <v>137</v>
      </c>
      <c r="C12" s="7" t="s">
        <v>138</v>
      </c>
      <c r="D12" s="8" t="s">
        <v>139</v>
      </c>
      <c r="E12" s="7" t="s">
        <v>23</v>
      </c>
      <c r="F12" s="7" t="s">
        <v>24</v>
      </c>
      <c r="G12" s="8" t="s">
        <v>157</v>
      </c>
      <c r="H12" s="7" t="s">
        <v>27</v>
      </c>
      <c r="I12" s="11" t="s">
        <v>141</v>
      </c>
      <c r="J12" s="7" t="s">
        <v>165</v>
      </c>
      <c r="K12" s="7" t="s">
        <v>166</v>
      </c>
      <c r="L12" s="7" t="s">
        <v>144</v>
      </c>
      <c r="M12" s="12" t="s">
        <v>31</v>
      </c>
      <c r="N12" s="7" t="s">
        <v>32</v>
      </c>
      <c r="O12" s="7" t="s">
        <v>145</v>
      </c>
      <c r="P12" s="7" t="s">
        <v>34</v>
      </c>
      <c r="Q12" s="7" t="s">
        <v>34</v>
      </c>
      <c r="R12" s="7" t="s">
        <v>35</v>
      </c>
      <c r="S12" s="8" t="s">
        <v>167</v>
      </c>
      <c r="T12" s="7" t="s">
        <v>37</v>
      </c>
    </row>
    <row r="13" customHeight="1" spans="1:20">
      <c r="A13" s="7">
        <v>710</v>
      </c>
      <c r="B13" s="7" t="s">
        <v>137</v>
      </c>
      <c r="C13" s="7" t="s">
        <v>138</v>
      </c>
      <c r="D13" s="8" t="s">
        <v>168</v>
      </c>
      <c r="E13" s="7" t="s">
        <v>23</v>
      </c>
      <c r="F13" s="7" t="s">
        <v>24</v>
      </c>
      <c r="G13" s="8" t="s">
        <v>169</v>
      </c>
      <c r="H13" s="7" t="s">
        <v>54</v>
      </c>
      <c r="I13" s="11" t="s">
        <v>170</v>
      </c>
      <c r="J13" s="7" t="s">
        <v>171</v>
      </c>
      <c r="K13" s="7" t="s">
        <v>172</v>
      </c>
      <c r="L13" s="7" t="s">
        <v>144</v>
      </c>
      <c r="M13" s="12" t="s">
        <v>31</v>
      </c>
      <c r="N13" s="7" t="s">
        <v>32</v>
      </c>
      <c r="O13" s="7" t="s">
        <v>145</v>
      </c>
      <c r="P13" s="7" t="s">
        <v>34</v>
      </c>
      <c r="Q13" s="7" t="s">
        <v>34</v>
      </c>
      <c r="R13" s="7" t="s">
        <v>35</v>
      </c>
      <c r="S13" s="8" t="s">
        <v>173</v>
      </c>
      <c r="T13" s="7" t="s">
        <v>37</v>
      </c>
    </row>
    <row r="14" customHeight="1" spans="1:20">
      <c r="A14" s="7">
        <v>710</v>
      </c>
      <c r="B14" s="7" t="s">
        <v>137</v>
      </c>
      <c r="C14" s="7" t="s">
        <v>138</v>
      </c>
      <c r="D14" s="8" t="s">
        <v>174</v>
      </c>
      <c r="E14" s="7" t="s">
        <v>23</v>
      </c>
      <c r="F14" s="7" t="s">
        <v>24</v>
      </c>
      <c r="G14" s="8" t="s">
        <v>175</v>
      </c>
      <c r="H14" s="7" t="s">
        <v>130</v>
      </c>
      <c r="I14" s="11" t="s">
        <v>131</v>
      </c>
      <c r="J14" s="7" t="s">
        <v>176</v>
      </c>
      <c r="K14" s="7" t="s">
        <v>177</v>
      </c>
      <c r="L14" s="7" t="s">
        <v>144</v>
      </c>
      <c r="M14" s="12" t="s">
        <v>31</v>
      </c>
      <c r="N14" s="7" t="s">
        <v>32</v>
      </c>
      <c r="O14" s="7" t="s">
        <v>145</v>
      </c>
      <c r="P14" s="7" t="s">
        <v>34</v>
      </c>
      <c r="Q14" s="7" t="s">
        <v>34</v>
      </c>
      <c r="R14" s="7" t="s">
        <v>35</v>
      </c>
      <c r="S14" s="8" t="s">
        <v>178</v>
      </c>
      <c r="T14" s="7" t="s">
        <v>37</v>
      </c>
    </row>
    <row r="15" customHeight="1" spans="1:20">
      <c r="A15" s="7">
        <v>710</v>
      </c>
      <c r="B15" s="7" t="s">
        <v>137</v>
      </c>
      <c r="C15" s="7" t="s">
        <v>138</v>
      </c>
      <c r="D15" s="8" t="s">
        <v>179</v>
      </c>
      <c r="E15" s="7" t="s">
        <v>23</v>
      </c>
      <c r="F15" s="7" t="s">
        <v>24</v>
      </c>
      <c r="G15" s="8" t="s">
        <v>175</v>
      </c>
      <c r="H15" s="7" t="s">
        <v>130</v>
      </c>
      <c r="I15" s="11" t="s">
        <v>131</v>
      </c>
      <c r="J15" s="7" t="s">
        <v>180</v>
      </c>
      <c r="K15" s="7" t="s">
        <v>181</v>
      </c>
      <c r="L15" s="7" t="s">
        <v>144</v>
      </c>
      <c r="M15" s="12" t="s">
        <v>31</v>
      </c>
      <c r="N15" s="7" t="s">
        <v>32</v>
      </c>
      <c r="O15" s="7" t="s">
        <v>145</v>
      </c>
      <c r="P15" s="7" t="s">
        <v>34</v>
      </c>
      <c r="Q15" s="7" t="s">
        <v>34</v>
      </c>
      <c r="R15" s="7" t="s">
        <v>35</v>
      </c>
      <c r="S15" s="8" t="s">
        <v>182</v>
      </c>
      <c r="T15" s="7" t="s">
        <v>37</v>
      </c>
    </row>
    <row r="16" customHeight="1" spans="1:20">
      <c r="A16" s="7">
        <v>710</v>
      </c>
      <c r="B16" s="7" t="s">
        <v>137</v>
      </c>
      <c r="C16" s="7" t="s">
        <v>138</v>
      </c>
      <c r="D16" s="8" t="s">
        <v>183</v>
      </c>
      <c r="E16" s="7" t="s">
        <v>23</v>
      </c>
      <c r="F16" s="7" t="s">
        <v>24</v>
      </c>
      <c r="G16" s="8" t="s">
        <v>175</v>
      </c>
      <c r="H16" s="7" t="s">
        <v>130</v>
      </c>
      <c r="I16" s="11" t="s">
        <v>131</v>
      </c>
      <c r="J16" s="7" t="s">
        <v>184</v>
      </c>
      <c r="K16" s="7" t="s">
        <v>185</v>
      </c>
      <c r="L16" s="7" t="s">
        <v>144</v>
      </c>
      <c r="M16" s="12" t="s">
        <v>31</v>
      </c>
      <c r="N16" s="7" t="s">
        <v>32</v>
      </c>
      <c r="O16" s="7" t="s">
        <v>145</v>
      </c>
      <c r="P16" s="7" t="s">
        <v>34</v>
      </c>
      <c r="Q16" s="7" t="s">
        <v>34</v>
      </c>
      <c r="R16" s="7" t="s">
        <v>35</v>
      </c>
      <c r="S16" s="8" t="s">
        <v>186</v>
      </c>
      <c r="T16" s="7" t="s">
        <v>37</v>
      </c>
    </row>
    <row r="17" customHeight="1" spans="1:20">
      <c r="A17" s="7">
        <v>710</v>
      </c>
      <c r="B17" s="7" t="s">
        <v>137</v>
      </c>
      <c r="C17" s="7" t="s">
        <v>21</v>
      </c>
      <c r="D17" s="8" t="s">
        <v>22</v>
      </c>
      <c r="E17" s="7" t="s">
        <v>23</v>
      </c>
      <c r="F17" s="7" t="s">
        <v>24</v>
      </c>
      <c r="G17" s="8" t="s">
        <v>187</v>
      </c>
      <c r="H17" s="7" t="s">
        <v>130</v>
      </c>
      <c r="I17" s="11" t="s">
        <v>131</v>
      </c>
      <c r="J17" s="7" t="s">
        <v>188</v>
      </c>
      <c r="K17" s="7" t="s">
        <v>189</v>
      </c>
      <c r="L17" s="7" t="s">
        <v>144</v>
      </c>
      <c r="M17" s="12" t="s">
        <v>31</v>
      </c>
      <c r="N17" s="7" t="s">
        <v>32</v>
      </c>
      <c r="O17" s="7" t="s">
        <v>145</v>
      </c>
      <c r="P17" s="7" t="s">
        <v>34</v>
      </c>
      <c r="Q17" s="7" t="s">
        <v>34</v>
      </c>
      <c r="R17" s="7" t="s">
        <v>35</v>
      </c>
      <c r="S17" s="8" t="s">
        <v>190</v>
      </c>
      <c r="T17" s="7" t="s">
        <v>37</v>
      </c>
    </row>
    <row r="18" customHeight="1" spans="1:20">
      <c r="A18" s="7">
        <v>111219</v>
      </c>
      <c r="B18" s="7" t="s">
        <v>191</v>
      </c>
      <c r="C18" s="7" t="s">
        <v>138</v>
      </c>
      <c r="D18" s="8" t="s">
        <v>156</v>
      </c>
      <c r="E18" s="7" t="s">
        <v>23</v>
      </c>
      <c r="F18" s="7" t="s">
        <v>24</v>
      </c>
      <c r="G18" s="8" t="s">
        <v>192</v>
      </c>
      <c r="H18" s="7" t="s">
        <v>170</v>
      </c>
      <c r="I18" s="11" t="s">
        <v>193</v>
      </c>
      <c r="J18" s="7" t="s">
        <v>194</v>
      </c>
      <c r="K18" s="7" t="s">
        <v>195</v>
      </c>
      <c r="L18" s="7" t="s">
        <v>196</v>
      </c>
      <c r="M18" s="12" t="s">
        <v>31</v>
      </c>
      <c r="N18" s="7" t="s">
        <v>32</v>
      </c>
      <c r="O18" s="7" t="s">
        <v>197</v>
      </c>
      <c r="P18" s="7" t="s">
        <v>34</v>
      </c>
      <c r="Q18" s="7" t="s">
        <v>34</v>
      </c>
      <c r="R18" s="7" t="s">
        <v>35</v>
      </c>
      <c r="S18" s="8" t="s">
        <v>198</v>
      </c>
      <c r="T18" s="7" t="s">
        <v>37</v>
      </c>
    </row>
    <row r="19" customHeight="1" spans="1:20">
      <c r="A19" s="7">
        <v>111219</v>
      </c>
      <c r="B19" s="7" t="s">
        <v>191</v>
      </c>
      <c r="C19" s="7" t="s">
        <v>138</v>
      </c>
      <c r="D19" s="8" t="s">
        <v>161</v>
      </c>
      <c r="E19" s="7" t="s">
        <v>23</v>
      </c>
      <c r="F19" s="7" t="s">
        <v>24</v>
      </c>
      <c r="G19" s="8" t="s">
        <v>192</v>
      </c>
      <c r="H19" s="7" t="s">
        <v>170</v>
      </c>
      <c r="I19" s="11" t="s">
        <v>193</v>
      </c>
      <c r="J19" s="7" t="s">
        <v>199</v>
      </c>
      <c r="K19" s="7" t="s">
        <v>200</v>
      </c>
      <c r="L19" s="7" t="s">
        <v>196</v>
      </c>
      <c r="M19" s="12" t="s">
        <v>31</v>
      </c>
      <c r="N19" s="7" t="s">
        <v>32</v>
      </c>
      <c r="O19" s="7" t="s">
        <v>197</v>
      </c>
      <c r="P19" s="7" t="s">
        <v>34</v>
      </c>
      <c r="Q19" s="7" t="s">
        <v>34</v>
      </c>
      <c r="R19" s="7" t="s">
        <v>35</v>
      </c>
      <c r="S19" s="8" t="s">
        <v>201</v>
      </c>
      <c r="T19" s="7" t="s">
        <v>37</v>
      </c>
    </row>
    <row r="20" customHeight="1" spans="1:20">
      <c r="A20" s="7">
        <v>111219</v>
      </c>
      <c r="B20" s="7" t="s">
        <v>191</v>
      </c>
      <c r="C20" s="7" t="s">
        <v>138</v>
      </c>
      <c r="D20" s="8" t="s">
        <v>139</v>
      </c>
      <c r="E20" s="7" t="s">
        <v>23</v>
      </c>
      <c r="F20" s="7" t="s">
        <v>24</v>
      </c>
      <c r="G20" s="8" t="s">
        <v>192</v>
      </c>
      <c r="H20" s="7" t="s">
        <v>170</v>
      </c>
      <c r="I20" s="11" t="s">
        <v>193</v>
      </c>
      <c r="J20" s="7" t="s">
        <v>202</v>
      </c>
      <c r="K20" s="7" t="s">
        <v>203</v>
      </c>
      <c r="L20" s="7" t="s">
        <v>196</v>
      </c>
      <c r="M20" s="12" t="s">
        <v>31</v>
      </c>
      <c r="N20" s="7" t="s">
        <v>32</v>
      </c>
      <c r="O20" s="7" t="s">
        <v>197</v>
      </c>
      <c r="P20" s="7" t="s">
        <v>34</v>
      </c>
      <c r="Q20" s="7" t="s">
        <v>34</v>
      </c>
      <c r="R20" s="7" t="s">
        <v>35</v>
      </c>
      <c r="S20" s="8" t="s">
        <v>204</v>
      </c>
      <c r="T20" s="7" t="s">
        <v>37</v>
      </c>
    </row>
    <row r="21" customHeight="1" spans="1:20">
      <c r="A21" s="7">
        <v>111219</v>
      </c>
      <c r="B21" s="7" t="s">
        <v>191</v>
      </c>
      <c r="C21" s="7" t="s">
        <v>138</v>
      </c>
      <c r="D21" s="8" t="s">
        <v>168</v>
      </c>
      <c r="E21" s="7" t="s">
        <v>23</v>
      </c>
      <c r="F21" s="7" t="s">
        <v>24</v>
      </c>
      <c r="G21" s="8" t="s">
        <v>205</v>
      </c>
      <c r="H21" s="7" t="s">
        <v>131</v>
      </c>
      <c r="I21" s="11" t="s">
        <v>206</v>
      </c>
      <c r="J21" s="7" t="s">
        <v>207</v>
      </c>
      <c r="K21" s="7" t="s">
        <v>208</v>
      </c>
      <c r="L21" s="7" t="s">
        <v>196</v>
      </c>
      <c r="M21" s="12" t="s">
        <v>31</v>
      </c>
      <c r="N21" s="7" t="s">
        <v>32</v>
      </c>
      <c r="O21" s="7" t="s">
        <v>197</v>
      </c>
      <c r="P21" s="7" t="s">
        <v>34</v>
      </c>
      <c r="Q21" s="7" t="s">
        <v>34</v>
      </c>
      <c r="R21" s="7" t="s">
        <v>35</v>
      </c>
      <c r="S21" s="8" t="s">
        <v>209</v>
      </c>
      <c r="T21" s="7" t="s">
        <v>37</v>
      </c>
    </row>
    <row r="22" customHeight="1" spans="1:20">
      <c r="A22" s="7">
        <v>111219</v>
      </c>
      <c r="B22" s="7" t="s">
        <v>191</v>
      </c>
      <c r="C22" s="7" t="s">
        <v>138</v>
      </c>
      <c r="D22" s="8" t="s">
        <v>147</v>
      </c>
      <c r="E22" s="7" t="s">
        <v>23</v>
      </c>
      <c r="F22" s="7" t="s">
        <v>24</v>
      </c>
      <c r="G22" s="8" t="s">
        <v>210</v>
      </c>
      <c r="H22" s="7" t="s">
        <v>131</v>
      </c>
      <c r="I22" s="11" t="s">
        <v>206</v>
      </c>
      <c r="J22" s="7" t="s">
        <v>211</v>
      </c>
      <c r="K22" s="7" t="s">
        <v>212</v>
      </c>
      <c r="L22" s="7" t="s">
        <v>196</v>
      </c>
      <c r="M22" s="12" t="s">
        <v>31</v>
      </c>
      <c r="N22" s="7" t="s">
        <v>32</v>
      </c>
      <c r="O22" s="7" t="s">
        <v>197</v>
      </c>
      <c r="P22" s="7" t="s">
        <v>34</v>
      </c>
      <c r="Q22" s="7" t="s">
        <v>34</v>
      </c>
      <c r="R22" s="7" t="s">
        <v>35</v>
      </c>
      <c r="S22" s="8" t="s">
        <v>213</v>
      </c>
      <c r="T22" s="7" t="s">
        <v>37</v>
      </c>
    </row>
    <row r="23" customHeight="1" spans="1:20">
      <c r="A23" s="7">
        <v>111219</v>
      </c>
      <c r="B23" s="7" t="s">
        <v>191</v>
      </c>
      <c r="C23" s="7" t="s">
        <v>138</v>
      </c>
      <c r="D23" s="8" t="s">
        <v>152</v>
      </c>
      <c r="E23" s="7" t="s">
        <v>23</v>
      </c>
      <c r="F23" s="7" t="s">
        <v>24</v>
      </c>
      <c r="G23" s="8" t="s">
        <v>210</v>
      </c>
      <c r="H23" s="7" t="s">
        <v>131</v>
      </c>
      <c r="I23" s="11" t="s">
        <v>206</v>
      </c>
      <c r="J23" s="7" t="s">
        <v>214</v>
      </c>
      <c r="K23" s="7" t="s">
        <v>215</v>
      </c>
      <c r="L23" s="7" t="s">
        <v>196</v>
      </c>
      <c r="M23" s="12" t="s">
        <v>31</v>
      </c>
      <c r="N23" s="7" t="s">
        <v>32</v>
      </c>
      <c r="O23" s="7" t="s">
        <v>197</v>
      </c>
      <c r="P23" s="7" t="s">
        <v>34</v>
      </c>
      <c r="Q23" s="7" t="s">
        <v>34</v>
      </c>
      <c r="R23" s="7" t="s">
        <v>35</v>
      </c>
      <c r="S23" s="8" t="s">
        <v>216</v>
      </c>
      <c r="T23" s="7" t="s">
        <v>37</v>
      </c>
    </row>
    <row r="24" customHeight="1" spans="1:20">
      <c r="A24" s="7">
        <v>365</v>
      </c>
      <c r="B24" s="7" t="s">
        <v>217</v>
      </c>
      <c r="C24" s="7" t="s">
        <v>138</v>
      </c>
      <c r="D24" s="8" t="s">
        <v>152</v>
      </c>
      <c r="E24" s="7" t="s">
        <v>23</v>
      </c>
      <c r="F24" s="7" t="s">
        <v>24</v>
      </c>
      <c r="G24" s="8" t="s">
        <v>218</v>
      </c>
      <c r="H24" s="7" t="s">
        <v>131</v>
      </c>
      <c r="I24" s="11" t="s">
        <v>206</v>
      </c>
      <c r="J24" s="7" t="s">
        <v>219</v>
      </c>
      <c r="K24" s="7" t="s">
        <v>220</v>
      </c>
      <c r="L24" s="7" t="s">
        <v>221</v>
      </c>
      <c r="M24" s="12" t="s">
        <v>31</v>
      </c>
      <c r="N24" s="7" t="s">
        <v>32</v>
      </c>
      <c r="O24" s="7" t="s">
        <v>197</v>
      </c>
      <c r="P24" s="7" t="s">
        <v>34</v>
      </c>
      <c r="Q24" s="7" t="s">
        <v>1839</v>
      </c>
      <c r="R24" s="7" t="s">
        <v>35</v>
      </c>
      <c r="S24" s="8" t="s">
        <v>222</v>
      </c>
      <c r="T24" s="7" t="s">
        <v>37</v>
      </c>
    </row>
    <row r="25" customHeight="1" spans="1:20">
      <c r="A25" s="7">
        <v>365</v>
      </c>
      <c r="B25" s="7" t="s">
        <v>217</v>
      </c>
      <c r="C25" s="7" t="s">
        <v>138</v>
      </c>
      <c r="D25" s="8" t="s">
        <v>147</v>
      </c>
      <c r="E25" s="7" t="s">
        <v>23</v>
      </c>
      <c r="F25" s="7" t="s">
        <v>24</v>
      </c>
      <c r="G25" s="8" t="s">
        <v>218</v>
      </c>
      <c r="H25" s="7" t="s">
        <v>131</v>
      </c>
      <c r="I25" s="11" t="s">
        <v>206</v>
      </c>
      <c r="J25" s="7" t="s">
        <v>223</v>
      </c>
      <c r="K25" s="7" t="s">
        <v>224</v>
      </c>
      <c r="L25" s="7" t="s">
        <v>221</v>
      </c>
      <c r="M25" s="12" t="s">
        <v>31</v>
      </c>
      <c r="N25" s="7" t="s">
        <v>32</v>
      </c>
      <c r="O25" s="7" t="s">
        <v>197</v>
      </c>
      <c r="P25" s="7" t="s">
        <v>34</v>
      </c>
      <c r="Q25" s="7" t="s">
        <v>1839</v>
      </c>
      <c r="R25" s="7" t="s">
        <v>35</v>
      </c>
      <c r="S25" s="8" t="s">
        <v>225</v>
      </c>
      <c r="T25" s="7" t="s">
        <v>37</v>
      </c>
    </row>
    <row r="26" customHeight="1" spans="1:20">
      <c r="A26" s="7">
        <v>365</v>
      </c>
      <c r="B26" s="7" t="s">
        <v>217</v>
      </c>
      <c r="C26" s="7" t="s">
        <v>138</v>
      </c>
      <c r="D26" s="8" t="s">
        <v>168</v>
      </c>
      <c r="E26" s="7" t="s">
        <v>23</v>
      </c>
      <c r="F26" s="7" t="s">
        <v>24</v>
      </c>
      <c r="G26" s="8" t="s">
        <v>226</v>
      </c>
      <c r="H26" s="7" t="s">
        <v>131</v>
      </c>
      <c r="I26" s="11" t="s">
        <v>206</v>
      </c>
      <c r="J26" s="7" t="s">
        <v>227</v>
      </c>
      <c r="K26" s="7" t="s">
        <v>228</v>
      </c>
      <c r="L26" s="7" t="s">
        <v>221</v>
      </c>
      <c r="M26" s="12" t="s">
        <v>31</v>
      </c>
      <c r="N26" s="7" t="s">
        <v>32</v>
      </c>
      <c r="O26" s="7" t="s">
        <v>197</v>
      </c>
      <c r="P26" s="7" t="s">
        <v>34</v>
      </c>
      <c r="Q26" s="7" t="s">
        <v>1839</v>
      </c>
      <c r="R26" s="7" t="s">
        <v>35</v>
      </c>
      <c r="S26" s="8" t="s">
        <v>229</v>
      </c>
      <c r="T26" s="7" t="s">
        <v>37</v>
      </c>
    </row>
    <row r="27" customHeight="1" spans="1:20">
      <c r="A27" s="7">
        <v>365</v>
      </c>
      <c r="B27" s="7" t="s">
        <v>217</v>
      </c>
      <c r="C27" s="7" t="s">
        <v>138</v>
      </c>
      <c r="D27" s="8" t="s">
        <v>139</v>
      </c>
      <c r="E27" s="7" t="s">
        <v>23</v>
      </c>
      <c r="F27" s="7" t="s">
        <v>24</v>
      </c>
      <c r="G27" s="8" t="s">
        <v>230</v>
      </c>
      <c r="H27" s="7" t="s">
        <v>170</v>
      </c>
      <c r="I27" s="11" t="s">
        <v>193</v>
      </c>
      <c r="J27" s="7" t="s">
        <v>231</v>
      </c>
      <c r="K27" s="7" t="s">
        <v>232</v>
      </c>
      <c r="L27" s="7" t="s">
        <v>221</v>
      </c>
      <c r="M27" s="12" t="s">
        <v>31</v>
      </c>
      <c r="N27" s="7" t="s">
        <v>32</v>
      </c>
      <c r="O27" s="7" t="s">
        <v>197</v>
      </c>
      <c r="P27" s="7" t="s">
        <v>34</v>
      </c>
      <c r="Q27" s="7" t="s">
        <v>1839</v>
      </c>
      <c r="R27" s="7" t="s">
        <v>35</v>
      </c>
      <c r="S27" s="8" t="s">
        <v>233</v>
      </c>
      <c r="T27" s="7" t="s">
        <v>37</v>
      </c>
    </row>
    <row r="28" customHeight="1" spans="1:20">
      <c r="A28" s="7">
        <v>365</v>
      </c>
      <c r="B28" s="7" t="s">
        <v>217</v>
      </c>
      <c r="C28" s="7" t="s">
        <v>138</v>
      </c>
      <c r="D28" s="8" t="s">
        <v>161</v>
      </c>
      <c r="E28" s="7" t="s">
        <v>23</v>
      </c>
      <c r="F28" s="7" t="s">
        <v>24</v>
      </c>
      <c r="G28" s="8" t="s">
        <v>230</v>
      </c>
      <c r="H28" s="7" t="s">
        <v>170</v>
      </c>
      <c r="I28" s="11" t="s">
        <v>193</v>
      </c>
      <c r="J28" s="7" t="s">
        <v>234</v>
      </c>
      <c r="K28" s="7" t="s">
        <v>235</v>
      </c>
      <c r="L28" s="7" t="s">
        <v>221</v>
      </c>
      <c r="M28" s="12" t="s">
        <v>31</v>
      </c>
      <c r="N28" s="7" t="s">
        <v>32</v>
      </c>
      <c r="O28" s="7" t="s">
        <v>197</v>
      </c>
      <c r="P28" s="7" t="s">
        <v>34</v>
      </c>
      <c r="Q28" s="7" t="s">
        <v>1839</v>
      </c>
      <c r="R28" s="7" t="s">
        <v>35</v>
      </c>
      <c r="S28" s="8" t="s">
        <v>236</v>
      </c>
      <c r="T28" s="7" t="s">
        <v>37</v>
      </c>
    </row>
    <row r="29" customHeight="1" spans="1:20">
      <c r="A29" s="7">
        <v>365</v>
      </c>
      <c r="B29" s="7" t="s">
        <v>217</v>
      </c>
      <c r="C29" s="7" t="s">
        <v>138</v>
      </c>
      <c r="D29" s="8" t="s">
        <v>156</v>
      </c>
      <c r="E29" s="7" t="s">
        <v>23</v>
      </c>
      <c r="F29" s="7" t="s">
        <v>24</v>
      </c>
      <c r="G29" s="8" t="s">
        <v>230</v>
      </c>
      <c r="H29" s="7" t="s">
        <v>170</v>
      </c>
      <c r="I29" s="11" t="s">
        <v>193</v>
      </c>
      <c r="J29" s="7" t="s">
        <v>237</v>
      </c>
      <c r="K29" s="7" t="s">
        <v>238</v>
      </c>
      <c r="L29" s="7" t="s">
        <v>221</v>
      </c>
      <c r="M29" s="12" t="s">
        <v>31</v>
      </c>
      <c r="N29" s="7" t="s">
        <v>32</v>
      </c>
      <c r="O29" s="7" t="s">
        <v>197</v>
      </c>
      <c r="P29" s="7" t="s">
        <v>34</v>
      </c>
      <c r="Q29" s="7" t="s">
        <v>1839</v>
      </c>
      <c r="R29" s="7" t="s">
        <v>35</v>
      </c>
      <c r="S29" s="8" t="s">
        <v>239</v>
      </c>
      <c r="T29" s="7" t="s">
        <v>37</v>
      </c>
    </row>
    <row r="30" customHeight="1" spans="1:20">
      <c r="A30" s="7">
        <v>738</v>
      </c>
      <c r="B30" s="7" t="s">
        <v>278</v>
      </c>
      <c r="C30" s="7" t="s">
        <v>138</v>
      </c>
      <c r="D30" s="8" t="s">
        <v>139</v>
      </c>
      <c r="E30" s="7" t="s">
        <v>23</v>
      </c>
      <c r="F30" s="7" t="s">
        <v>24</v>
      </c>
      <c r="G30" s="8" t="s">
        <v>279</v>
      </c>
      <c r="H30" s="7" t="s">
        <v>27</v>
      </c>
      <c r="I30" s="11" t="s">
        <v>141</v>
      </c>
      <c r="J30" s="7" t="s">
        <v>280</v>
      </c>
      <c r="K30" s="7" t="s">
        <v>281</v>
      </c>
      <c r="L30" s="7" t="s">
        <v>282</v>
      </c>
      <c r="M30" s="12" t="s">
        <v>31</v>
      </c>
      <c r="N30" s="7" t="s">
        <v>32</v>
      </c>
      <c r="O30" s="7" t="s">
        <v>145</v>
      </c>
      <c r="P30" s="7" t="s">
        <v>34</v>
      </c>
      <c r="Q30" s="7" t="s">
        <v>1839</v>
      </c>
      <c r="R30" s="7" t="s">
        <v>35</v>
      </c>
      <c r="S30" s="8" t="s">
        <v>283</v>
      </c>
      <c r="T30" s="7" t="s">
        <v>37</v>
      </c>
    </row>
    <row r="31" customHeight="1" spans="1:20">
      <c r="A31" s="7">
        <v>738</v>
      </c>
      <c r="B31" s="7" t="s">
        <v>278</v>
      </c>
      <c r="C31" s="7" t="s">
        <v>138</v>
      </c>
      <c r="D31" s="8" t="s">
        <v>147</v>
      </c>
      <c r="E31" s="7" t="s">
        <v>23</v>
      </c>
      <c r="F31" s="7" t="s">
        <v>24</v>
      </c>
      <c r="G31" s="8" t="s">
        <v>284</v>
      </c>
      <c r="H31" s="7" t="s">
        <v>27</v>
      </c>
      <c r="I31" s="11" t="s">
        <v>141</v>
      </c>
      <c r="J31" s="7" t="s">
        <v>285</v>
      </c>
      <c r="K31" s="7" t="s">
        <v>286</v>
      </c>
      <c r="L31" s="7" t="s">
        <v>282</v>
      </c>
      <c r="M31" s="12" t="s">
        <v>31</v>
      </c>
      <c r="N31" s="7" t="s">
        <v>32</v>
      </c>
      <c r="O31" s="7" t="s">
        <v>145</v>
      </c>
      <c r="P31" s="7" t="s">
        <v>34</v>
      </c>
      <c r="Q31" s="7" t="s">
        <v>1839</v>
      </c>
      <c r="R31" s="7" t="s">
        <v>35</v>
      </c>
      <c r="S31" s="8" t="s">
        <v>287</v>
      </c>
      <c r="T31" s="7" t="s">
        <v>37</v>
      </c>
    </row>
    <row r="32" customHeight="1" spans="1:20">
      <c r="A32" s="7">
        <v>738</v>
      </c>
      <c r="B32" s="7" t="s">
        <v>278</v>
      </c>
      <c r="C32" s="7" t="s">
        <v>138</v>
      </c>
      <c r="D32" s="8" t="s">
        <v>152</v>
      </c>
      <c r="E32" s="7" t="s">
        <v>23</v>
      </c>
      <c r="F32" s="7" t="s">
        <v>24</v>
      </c>
      <c r="G32" s="8" t="s">
        <v>284</v>
      </c>
      <c r="H32" s="7" t="s">
        <v>27</v>
      </c>
      <c r="I32" s="11" t="s">
        <v>141</v>
      </c>
      <c r="J32" s="7" t="s">
        <v>288</v>
      </c>
      <c r="K32" s="7" t="s">
        <v>289</v>
      </c>
      <c r="L32" s="7" t="s">
        <v>282</v>
      </c>
      <c r="M32" s="12" t="s">
        <v>31</v>
      </c>
      <c r="N32" s="7" t="s">
        <v>32</v>
      </c>
      <c r="O32" s="7" t="s">
        <v>145</v>
      </c>
      <c r="P32" s="7" t="s">
        <v>34</v>
      </c>
      <c r="Q32" s="7" t="s">
        <v>1839</v>
      </c>
      <c r="R32" s="7" t="s">
        <v>35</v>
      </c>
      <c r="S32" s="8" t="s">
        <v>290</v>
      </c>
      <c r="T32" s="7" t="s">
        <v>37</v>
      </c>
    </row>
    <row r="33" customHeight="1" spans="1:20">
      <c r="A33" s="7">
        <v>738</v>
      </c>
      <c r="B33" s="7" t="s">
        <v>278</v>
      </c>
      <c r="C33" s="7" t="s">
        <v>291</v>
      </c>
      <c r="D33" s="8" t="s">
        <v>292</v>
      </c>
      <c r="E33" s="7" t="s">
        <v>23</v>
      </c>
      <c r="F33" s="7" t="s">
        <v>24</v>
      </c>
      <c r="G33" s="8" t="s">
        <v>293</v>
      </c>
      <c r="H33" s="7" t="s">
        <v>27</v>
      </c>
      <c r="I33" s="11" t="s">
        <v>141</v>
      </c>
      <c r="J33" s="7" t="s">
        <v>294</v>
      </c>
      <c r="K33" s="7" t="s">
        <v>295</v>
      </c>
      <c r="L33" s="7" t="s">
        <v>282</v>
      </c>
      <c r="M33" s="12" t="s">
        <v>31</v>
      </c>
      <c r="N33" s="7" t="s">
        <v>32</v>
      </c>
      <c r="O33" s="7" t="s">
        <v>145</v>
      </c>
      <c r="P33" s="7" t="s">
        <v>1839</v>
      </c>
      <c r="Q33" s="7" t="s">
        <v>1839</v>
      </c>
      <c r="R33" s="7" t="s">
        <v>35</v>
      </c>
      <c r="S33" s="8" t="s">
        <v>296</v>
      </c>
      <c r="T33" s="7" t="s">
        <v>37</v>
      </c>
    </row>
    <row r="34" customHeight="1" spans="1:20">
      <c r="A34" s="7">
        <v>738</v>
      </c>
      <c r="B34" s="7" t="s">
        <v>278</v>
      </c>
      <c r="C34" s="7" t="s">
        <v>138</v>
      </c>
      <c r="D34" s="8" t="s">
        <v>156</v>
      </c>
      <c r="E34" s="7" t="s">
        <v>23</v>
      </c>
      <c r="F34" s="7" t="s">
        <v>24</v>
      </c>
      <c r="G34" s="8" t="s">
        <v>297</v>
      </c>
      <c r="H34" s="7" t="s">
        <v>27</v>
      </c>
      <c r="I34" s="11" t="s">
        <v>141</v>
      </c>
      <c r="J34" s="7" t="s">
        <v>298</v>
      </c>
      <c r="K34" s="7" t="s">
        <v>299</v>
      </c>
      <c r="L34" s="7" t="s">
        <v>282</v>
      </c>
      <c r="M34" s="12" t="s">
        <v>31</v>
      </c>
      <c r="N34" s="7" t="s">
        <v>32</v>
      </c>
      <c r="O34" s="7" t="s">
        <v>145</v>
      </c>
      <c r="P34" s="7" t="s">
        <v>34</v>
      </c>
      <c r="Q34" s="7" t="s">
        <v>1839</v>
      </c>
      <c r="R34" s="7" t="s">
        <v>35</v>
      </c>
      <c r="S34" s="8" t="s">
        <v>300</v>
      </c>
      <c r="T34" s="7" t="s">
        <v>37</v>
      </c>
    </row>
    <row r="35" customHeight="1" spans="1:20">
      <c r="A35" s="7">
        <v>738</v>
      </c>
      <c r="B35" s="7" t="s">
        <v>278</v>
      </c>
      <c r="C35" s="7" t="s">
        <v>138</v>
      </c>
      <c r="D35" s="8" t="s">
        <v>161</v>
      </c>
      <c r="E35" s="7" t="s">
        <v>23</v>
      </c>
      <c r="F35" s="7" t="s">
        <v>24</v>
      </c>
      <c r="G35" s="8" t="s">
        <v>297</v>
      </c>
      <c r="H35" s="7" t="s">
        <v>27</v>
      </c>
      <c r="I35" s="11" t="s">
        <v>141</v>
      </c>
      <c r="J35" s="7" t="s">
        <v>301</v>
      </c>
      <c r="K35" s="7" t="s">
        <v>302</v>
      </c>
      <c r="L35" s="7" t="s">
        <v>282</v>
      </c>
      <c r="M35" s="12" t="s">
        <v>31</v>
      </c>
      <c r="N35" s="7" t="s">
        <v>32</v>
      </c>
      <c r="O35" s="7" t="s">
        <v>145</v>
      </c>
      <c r="P35" s="7" t="s">
        <v>34</v>
      </c>
      <c r="Q35" s="7" t="s">
        <v>1839</v>
      </c>
      <c r="R35" s="7" t="s">
        <v>35</v>
      </c>
      <c r="S35" s="8" t="s">
        <v>303</v>
      </c>
      <c r="T35" s="7" t="s">
        <v>37</v>
      </c>
    </row>
    <row r="36" customHeight="1" spans="1:20">
      <c r="A36" s="7">
        <v>738</v>
      </c>
      <c r="B36" s="7" t="s">
        <v>278</v>
      </c>
      <c r="C36" s="7" t="s">
        <v>138</v>
      </c>
      <c r="D36" s="8" t="s">
        <v>139</v>
      </c>
      <c r="E36" s="7" t="s">
        <v>23</v>
      </c>
      <c r="F36" s="7" t="s">
        <v>24</v>
      </c>
      <c r="G36" s="8" t="s">
        <v>297</v>
      </c>
      <c r="H36" s="7" t="s">
        <v>27</v>
      </c>
      <c r="I36" s="11" t="s">
        <v>141</v>
      </c>
      <c r="J36" s="7" t="s">
        <v>304</v>
      </c>
      <c r="K36" s="7" t="s">
        <v>305</v>
      </c>
      <c r="L36" s="7" t="s">
        <v>282</v>
      </c>
      <c r="M36" s="12" t="s">
        <v>31</v>
      </c>
      <c r="N36" s="7" t="s">
        <v>32</v>
      </c>
      <c r="O36" s="7" t="s">
        <v>145</v>
      </c>
      <c r="P36" s="7" t="s">
        <v>34</v>
      </c>
      <c r="Q36" s="7" t="s">
        <v>1839</v>
      </c>
      <c r="R36" s="7" t="s">
        <v>35</v>
      </c>
      <c r="S36" s="8" t="s">
        <v>306</v>
      </c>
      <c r="T36" s="7" t="s">
        <v>37</v>
      </c>
    </row>
    <row r="37" customHeight="1" spans="1:20">
      <c r="A37" s="7">
        <v>738</v>
      </c>
      <c r="B37" s="7" t="s">
        <v>278</v>
      </c>
      <c r="C37" s="7" t="s">
        <v>291</v>
      </c>
      <c r="D37" s="8" t="s">
        <v>292</v>
      </c>
      <c r="E37" s="7" t="s">
        <v>23</v>
      </c>
      <c r="F37" s="7" t="s">
        <v>24</v>
      </c>
      <c r="G37" s="8" t="s">
        <v>307</v>
      </c>
      <c r="H37" s="7" t="s">
        <v>27</v>
      </c>
      <c r="I37" s="11" t="s">
        <v>141</v>
      </c>
      <c r="J37" s="7" t="s">
        <v>308</v>
      </c>
      <c r="K37" s="7" t="s">
        <v>309</v>
      </c>
      <c r="L37" s="7" t="s">
        <v>282</v>
      </c>
      <c r="M37" s="12" t="s">
        <v>31</v>
      </c>
      <c r="N37" s="7" t="s">
        <v>32</v>
      </c>
      <c r="O37" s="7" t="s">
        <v>145</v>
      </c>
      <c r="P37" s="7" t="s">
        <v>1839</v>
      </c>
      <c r="Q37" s="7" t="s">
        <v>1839</v>
      </c>
      <c r="R37" s="7" t="s">
        <v>35</v>
      </c>
      <c r="S37" s="8" t="s">
        <v>310</v>
      </c>
      <c r="T37" s="7" t="s">
        <v>37</v>
      </c>
    </row>
    <row r="38" customHeight="1" spans="1:20">
      <c r="A38" s="7">
        <v>367</v>
      </c>
      <c r="B38" s="7" t="s">
        <v>311</v>
      </c>
      <c r="C38" s="7" t="s">
        <v>21</v>
      </c>
      <c r="D38" s="8" t="s">
        <v>22</v>
      </c>
      <c r="E38" s="7" t="s">
        <v>23</v>
      </c>
      <c r="F38" s="7" t="s">
        <v>24</v>
      </c>
      <c r="G38" s="8" t="s">
        <v>312</v>
      </c>
      <c r="H38" s="7" t="s">
        <v>26</v>
      </c>
      <c r="I38" s="11" t="s">
        <v>27</v>
      </c>
      <c r="J38" s="7" t="s">
        <v>313</v>
      </c>
      <c r="K38" s="7" t="s">
        <v>314</v>
      </c>
      <c r="L38" s="7" t="s">
        <v>315</v>
      </c>
      <c r="M38" s="12" t="s">
        <v>31</v>
      </c>
      <c r="N38" s="7" t="s">
        <v>32</v>
      </c>
      <c r="O38" s="7" t="s">
        <v>33</v>
      </c>
      <c r="P38" s="7" t="s">
        <v>34</v>
      </c>
      <c r="Q38" s="7" t="s">
        <v>34</v>
      </c>
      <c r="R38" s="7" t="s">
        <v>35</v>
      </c>
      <c r="S38" s="8" t="s">
        <v>316</v>
      </c>
      <c r="T38" s="7" t="s">
        <v>37</v>
      </c>
    </row>
    <row r="39" customHeight="1" spans="1:20">
      <c r="A39" s="7">
        <v>54</v>
      </c>
      <c r="B39" s="7" t="s">
        <v>317</v>
      </c>
      <c r="C39" s="7" t="s">
        <v>21</v>
      </c>
      <c r="D39" s="8" t="s">
        <v>22</v>
      </c>
      <c r="E39" s="7" t="s">
        <v>23</v>
      </c>
      <c r="F39" s="7" t="s">
        <v>24</v>
      </c>
      <c r="G39" s="8" t="s">
        <v>318</v>
      </c>
      <c r="H39" s="7" t="s">
        <v>26</v>
      </c>
      <c r="I39" s="11" t="s">
        <v>27</v>
      </c>
      <c r="J39" s="7" t="s">
        <v>319</v>
      </c>
      <c r="K39" s="7" t="s">
        <v>320</v>
      </c>
      <c r="L39" s="7" t="s">
        <v>321</v>
      </c>
      <c r="M39" s="12" t="s">
        <v>31</v>
      </c>
      <c r="N39" s="7" t="s">
        <v>32</v>
      </c>
      <c r="O39" s="7" t="s">
        <v>33</v>
      </c>
      <c r="P39" s="7" t="s">
        <v>34</v>
      </c>
      <c r="Q39" s="7" t="s">
        <v>34</v>
      </c>
      <c r="R39" s="7" t="s">
        <v>35</v>
      </c>
      <c r="S39" s="8" t="s">
        <v>322</v>
      </c>
      <c r="T39" s="7" t="s">
        <v>37</v>
      </c>
    </row>
    <row r="40" customHeight="1" spans="1:20">
      <c r="A40" s="7">
        <v>103198</v>
      </c>
      <c r="B40" s="7" t="s">
        <v>323</v>
      </c>
      <c r="C40" s="7" t="s">
        <v>138</v>
      </c>
      <c r="D40" s="8" t="s">
        <v>147</v>
      </c>
      <c r="E40" s="7" t="s">
        <v>23</v>
      </c>
      <c r="F40" s="7" t="s">
        <v>24</v>
      </c>
      <c r="G40" s="8" t="s">
        <v>324</v>
      </c>
      <c r="H40" s="7" t="s">
        <v>131</v>
      </c>
      <c r="I40" s="11" t="s">
        <v>206</v>
      </c>
      <c r="J40" s="7" t="s">
        <v>325</v>
      </c>
      <c r="K40" s="7" t="s">
        <v>326</v>
      </c>
      <c r="L40" s="7" t="s">
        <v>327</v>
      </c>
      <c r="M40" s="12" t="s">
        <v>31</v>
      </c>
      <c r="N40" s="7" t="s">
        <v>32</v>
      </c>
      <c r="O40" s="7" t="s">
        <v>197</v>
      </c>
      <c r="P40" s="7" t="s">
        <v>34</v>
      </c>
      <c r="Q40" s="7" t="s">
        <v>1839</v>
      </c>
      <c r="R40" s="7" t="s">
        <v>35</v>
      </c>
      <c r="S40" s="8" t="s">
        <v>328</v>
      </c>
      <c r="T40" s="7" t="s">
        <v>37</v>
      </c>
    </row>
    <row r="41" customHeight="1" spans="1:20">
      <c r="A41" s="7">
        <v>103198</v>
      </c>
      <c r="B41" s="7" t="s">
        <v>323</v>
      </c>
      <c r="C41" s="7" t="s">
        <v>138</v>
      </c>
      <c r="D41" s="8" t="s">
        <v>152</v>
      </c>
      <c r="E41" s="7" t="s">
        <v>23</v>
      </c>
      <c r="F41" s="7" t="s">
        <v>24</v>
      </c>
      <c r="G41" s="8" t="s">
        <v>324</v>
      </c>
      <c r="H41" s="7" t="s">
        <v>131</v>
      </c>
      <c r="I41" s="11" t="s">
        <v>206</v>
      </c>
      <c r="J41" s="7" t="s">
        <v>329</v>
      </c>
      <c r="K41" s="7" t="s">
        <v>330</v>
      </c>
      <c r="L41" s="7" t="s">
        <v>327</v>
      </c>
      <c r="M41" s="12" t="s">
        <v>31</v>
      </c>
      <c r="N41" s="7" t="s">
        <v>32</v>
      </c>
      <c r="O41" s="7" t="s">
        <v>197</v>
      </c>
      <c r="P41" s="7" t="s">
        <v>34</v>
      </c>
      <c r="Q41" s="7" t="s">
        <v>1839</v>
      </c>
      <c r="R41" s="7" t="s">
        <v>35</v>
      </c>
      <c r="S41" s="8" t="s">
        <v>331</v>
      </c>
      <c r="T41" s="7" t="s">
        <v>37</v>
      </c>
    </row>
    <row r="42" customHeight="1" spans="1:20">
      <c r="A42" s="7">
        <v>103198</v>
      </c>
      <c r="B42" s="7" t="s">
        <v>323</v>
      </c>
      <c r="C42" s="7" t="s">
        <v>21</v>
      </c>
      <c r="D42" s="8" t="s">
        <v>22</v>
      </c>
      <c r="E42" s="7" t="s">
        <v>23</v>
      </c>
      <c r="F42" s="7" t="s">
        <v>24</v>
      </c>
      <c r="G42" s="8" t="s">
        <v>332</v>
      </c>
      <c r="H42" s="7" t="s">
        <v>130</v>
      </c>
      <c r="I42" s="11" t="s">
        <v>131</v>
      </c>
      <c r="J42" s="7" t="s">
        <v>333</v>
      </c>
      <c r="K42" s="7" t="s">
        <v>334</v>
      </c>
      <c r="L42" s="7" t="s">
        <v>327</v>
      </c>
      <c r="M42" s="12" t="s">
        <v>31</v>
      </c>
      <c r="N42" s="7" t="s">
        <v>32</v>
      </c>
      <c r="O42" s="7" t="s">
        <v>197</v>
      </c>
      <c r="P42" s="7" t="s">
        <v>34</v>
      </c>
      <c r="Q42" s="7" t="s">
        <v>1839</v>
      </c>
      <c r="R42" s="7" t="s">
        <v>35</v>
      </c>
      <c r="S42" s="8" t="s">
        <v>335</v>
      </c>
      <c r="T42" s="7" t="s">
        <v>37</v>
      </c>
    </row>
    <row r="43" customHeight="1" spans="1:20">
      <c r="A43" s="7">
        <v>103198</v>
      </c>
      <c r="B43" s="7" t="s">
        <v>323</v>
      </c>
      <c r="C43" s="7" t="s">
        <v>138</v>
      </c>
      <c r="D43" s="8" t="s">
        <v>147</v>
      </c>
      <c r="E43" s="7" t="s">
        <v>23</v>
      </c>
      <c r="F43" s="7" t="s">
        <v>24</v>
      </c>
      <c r="G43" s="8" t="s">
        <v>336</v>
      </c>
      <c r="H43" s="7" t="s">
        <v>241</v>
      </c>
      <c r="I43" s="11" t="s">
        <v>130</v>
      </c>
      <c r="J43" s="7" t="s">
        <v>337</v>
      </c>
      <c r="K43" s="7" t="s">
        <v>338</v>
      </c>
      <c r="L43" s="7" t="s">
        <v>327</v>
      </c>
      <c r="M43" s="12" t="s">
        <v>31</v>
      </c>
      <c r="N43" s="7" t="s">
        <v>32</v>
      </c>
      <c r="O43" s="7" t="s">
        <v>197</v>
      </c>
      <c r="P43" s="7" t="s">
        <v>34</v>
      </c>
      <c r="Q43" s="7" t="s">
        <v>1839</v>
      </c>
      <c r="R43" s="7" t="s">
        <v>35</v>
      </c>
      <c r="S43" s="8" t="s">
        <v>339</v>
      </c>
      <c r="T43" s="7" t="s">
        <v>37</v>
      </c>
    </row>
    <row r="44" customHeight="1" spans="1:20">
      <c r="A44" s="7">
        <v>103198</v>
      </c>
      <c r="B44" s="7" t="s">
        <v>323</v>
      </c>
      <c r="C44" s="7" t="s">
        <v>138</v>
      </c>
      <c r="D44" s="8" t="s">
        <v>152</v>
      </c>
      <c r="E44" s="7" t="s">
        <v>23</v>
      </c>
      <c r="F44" s="7" t="s">
        <v>24</v>
      </c>
      <c r="G44" s="8" t="s">
        <v>336</v>
      </c>
      <c r="H44" s="7" t="s">
        <v>241</v>
      </c>
      <c r="I44" s="11" t="s">
        <v>130</v>
      </c>
      <c r="J44" s="7" t="s">
        <v>340</v>
      </c>
      <c r="K44" s="7" t="s">
        <v>341</v>
      </c>
      <c r="L44" s="7" t="s">
        <v>327</v>
      </c>
      <c r="M44" s="12" t="s">
        <v>31</v>
      </c>
      <c r="N44" s="7" t="s">
        <v>32</v>
      </c>
      <c r="O44" s="7" t="s">
        <v>197</v>
      </c>
      <c r="P44" s="7" t="s">
        <v>34</v>
      </c>
      <c r="Q44" s="7" t="s">
        <v>1839</v>
      </c>
      <c r="R44" s="7" t="s">
        <v>35</v>
      </c>
      <c r="S44" s="8" t="s">
        <v>342</v>
      </c>
      <c r="T44" s="7" t="s">
        <v>37</v>
      </c>
    </row>
    <row r="45" customHeight="1" spans="1:20">
      <c r="A45" s="7">
        <v>103198</v>
      </c>
      <c r="B45" s="7" t="s">
        <v>323</v>
      </c>
      <c r="C45" s="7" t="s">
        <v>138</v>
      </c>
      <c r="D45" s="8" t="s">
        <v>156</v>
      </c>
      <c r="E45" s="7" t="s">
        <v>23</v>
      </c>
      <c r="F45" s="7" t="s">
        <v>24</v>
      </c>
      <c r="G45" s="8" t="s">
        <v>343</v>
      </c>
      <c r="H45" s="7" t="s">
        <v>241</v>
      </c>
      <c r="I45" s="11" t="s">
        <v>130</v>
      </c>
      <c r="J45" s="7" t="s">
        <v>344</v>
      </c>
      <c r="K45" s="7" t="s">
        <v>345</v>
      </c>
      <c r="L45" s="7" t="s">
        <v>327</v>
      </c>
      <c r="M45" s="12" t="s">
        <v>31</v>
      </c>
      <c r="N45" s="7" t="s">
        <v>32</v>
      </c>
      <c r="O45" s="7" t="s">
        <v>197</v>
      </c>
      <c r="P45" s="7" t="s">
        <v>34</v>
      </c>
      <c r="Q45" s="7" t="s">
        <v>1839</v>
      </c>
      <c r="R45" s="7" t="s">
        <v>35</v>
      </c>
      <c r="S45" s="8" t="s">
        <v>346</v>
      </c>
      <c r="T45" s="7" t="s">
        <v>37</v>
      </c>
    </row>
    <row r="46" customHeight="1" spans="1:20">
      <c r="A46" s="7">
        <v>103198</v>
      </c>
      <c r="B46" s="7" t="s">
        <v>323</v>
      </c>
      <c r="C46" s="7" t="s">
        <v>138</v>
      </c>
      <c r="D46" s="8" t="s">
        <v>161</v>
      </c>
      <c r="E46" s="7" t="s">
        <v>23</v>
      </c>
      <c r="F46" s="7" t="s">
        <v>24</v>
      </c>
      <c r="G46" s="8" t="s">
        <v>343</v>
      </c>
      <c r="H46" s="7" t="s">
        <v>241</v>
      </c>
      <c r="I46" s="11" t="s">
        <v>130</v>
      </c>
      <c r="J46" s="7" t="s">
        <v>347</v>
      </c>
      <c r="K46" s="7" t="s">
        <v>348</v>
      </c>
      <c r="L46" s="7" t="s">
        <v>327</v>
      </c>
      <c r="M46" s="12" t="s">
        <v>31</v>
      </c>
      <c r="N46" s="7" t="s">
        <v>32</v>
      </c>
      <c r="O46" s="7" t="s">
        <v>197</v>
      </c>
      <c r="P46" s="7" t="s">
        <v>34</v>
      </c>
      <c r="Q46" s="7" t="s">
        <v>1839</v>
      </c>
      <c r="R46" s="7" t="s">
        <v>35</v>
      </c>
      <c r="S46" s="8" t="s">
        <v>349</v>
      </c>
      <c r="T46" s="7" t="s">
        <v>37</v>
      </c>
    </row>
    <row r="47" customHeight="1" spans="1:20">
      <c r="A47" s="7">
        <v>103198</v>
      </c>
      <c r="B47" s="7" t="s">
        <v>323</v>
      </c>
      <c r="C47" s="7" t="s">
        <v>138</v>
      </c>
      <c r="D47" s="8" t="s">
        <v>139</v>
      </c>
      <c r="E47" s="7" t="s">
        <v>23</v>
      </c>
      <c r="F47" s="7" t="s">
        <v>24</v>
      </c>
      <c r="G47" s="8" t="s">
        <v>343</v>
      </c>
      <c r="H47" s="7" t="s">
        <v>241</v>
      </c>
      <c r="I47" s="11" t="s">
        <v>130</v>
      </c>
      <c r="J47" s="7" t="s">
        <v>350</v>
      </c>
      <c r="K47" s="7" t="s">
        <v>351</v>
      </c>
      <c r="L47" s="7" t="s">
        <v>327</v>
      </c>
      <c r="M47" s="12" t="s">
        <v>31</v>
      </c>
      <c r="N47" s="7" t="s">
        <v>32</v>
      </c>
      <c r="O47" s="7" t="s">
        <v>197</v>
      </c>
      <c r="P47" s="7" t="s">
        <v>34</v>
      </c>
      <c r="Q47" s="7" t="s">
        <v>1839</v>
      </c>
      <c r="R47" s="7" t="s">
        <v>35</v>
      </c>
      <c r="S47" s="8" t="s">
        <v>352</v>
      </c>
      <c r="T47" s="7" t="s">
        <v>37</v>
      </c>
    </row>
    <row r="48" customHeight="1" spans="1:20">
      <c r="A48" s="7">
        <v>106569</v>
      </c>
      <c r="B48" s="7" t="s">
        <v>353</v>
      </c>
      <c r="C48" s="7" t="s">
        <v>138</v>
      </c>
      <c r="D48" s="8" t="s">
        <v>147</v>
      </c>
      <c r="E48" s="7" t="s">
        <v>23</v>
      </c>
      <c r="F48" s="7" t="s">
        <v>24</v>
      </c>
      <c r="G48" s="8" t="s">
        <v>354</v>
      </c>
      <c r="H48" s="7" t="s">
        <v>131</v>
      </c>
      <c r="I48" s="11" t="s">
        <v>206</v>
      </c>
      <c r="J48" s="7" t="s">
        <v>355</v>
      </c>
      <c r="K48" s="7" t="s">
        <v>356</v>
      </c>
      <c r="L48" s="7" t="s">
        <v>357</v>
      </c>
      <c r="M48" s="12" t="s">
        <v>31</v>
      </c>
      <c r="N48" s="7" t="s">
        <v>32</v>
      </c>
      <c r="O48" s="7" t="s">
        <v>197</v>
      </c>
      <c r="P48" s="7" t="s">
        <v>34</v>
      </c>
      <c r="Q48" s="7" t="s">
        <v>1839</v>
      </c>
      <c r="R48" s="7" t="s">
        <v>35</v>
      </c>
      <c r="S48" s="8" t="s">
        <v>358</v>
      </c>
      <c r="T48" s="7" t="s">
        <v>37</v>
      </c>
    </row>
    <row r="49" customHeight="1" spans="1:20">
      <c r="A49" s="7">
        <v>106569</v>
      </c>
      <c r="B49" s="7" t="s">
        <v>353</v>
      </c>
      <c r="C49" s="7" t="s">
        <v>138</v>
      </c>
      <c r="D49" s="8" t="s">
        <v>152</v>
      </c>
      <c r="E49" s="7" t="s">
        <v>23</v>
      </c>
      <c r="F49" s="7" t="s">
        <v>24</v>
      </c>
      <c r="G49" s="8" t="s">
        <v>354</v>
      </c>
      <c r="H49" s="7" t="s">
        <v>131</v>
      </c>
      <c r="I49" s="11" t="s">
        <v>206</v>
      </c>
      <c r="J49" s="7" t="s">
        <v>359</v>
      </c>
      <c r="K49" s="7" t="s">
        <v>360</v>
      </c>
      <c r="L49" s="7" t="s">
        <v>357</v>
      </c>
      <c r="M49" s="12" t="s">
        <v>31</v>
      </c>
      <c r="N49" s="7" t="s">
        <v>32</v>
      </c>
      <c r="O49" s="7" t="s">
        <v>197</v>
      </c>
      <c r="P49" s="7" t="s">
        <v>34</v>
      </c>
      <c r="Q49" s="7" t="s">
        <v>1839</v>
      </c>
      <c r="R49" s="7" t="s">
        <v>35</v>
      </c>
      <c r="S49" s="8" t="s">
        <v>361</v>
      </c>
      <c r="T49" s="7" t="s">
        <v>37</v>
      </c>
    </row>
    <row r="50" customHeight="1" spans="1:20">
      <c r="A50" s="7">
        <v>102565</v>
      </c>
      <c r="B50" s="7" t="s">
        <v>362</v>
      </c>
      <c r="C50" s="7" t="s">
        <v>138</v>
      </c>
      <c r="D50" s="8" t="s">
        <v>147</v>
      </c>
      <c r="E50" s="7" t="s">
        <v>23</v>
      </c>
      <c r="F50" s="7" t="s">
        <v>24</v>
      </c>
      <c r="G50" s="8" t="s">
        <v>363</v>
      </c>
      <c r="H50" s="7" t="s">
        <v>131</v>
      </c>
      <c r="I50" s="11" t="s">
        <v>206</v>
      </c>
      <c r="J50" s="7" t="s">
        <v>364</v>
      </c>
      <c r="K50" s="7" t="s">
        <v>365</v>
      </c>
      <c r="L50" s="7" t="s">
        <v>357</v>
      </c>
      <c r="M50" s="12" t="s">
        <v>31</v>
      </c>
      <c r="N50" s="7" t="s">
        <v>32</v>
      </c>
      <c r="O50" s="7" t="s">
        <v>197</v>
      </c>
      <c r="P50" s="7" t="s">
        <v>34</v>
      </c>
      <c r="Q50" s="7" t="s">
        <v>1839</v>
      </c>
      <c r="R50" s="7" t="s">
        <v>35</v>
      </c>
      <c r="S50" s="8" t="s">
        <v>366</v>
      </c>
      <c r="T50" s="7" t="s">
        <v>37</v>
      </c>
    </row>
    <row r="51" customHeight="1" spans="1:20">
      <c r="A51" s="7">
        <v>102565</v>
      </c>
      <c r="B51" s="7" t="s">
        <v>362</v>
      </c>
      <c r="C51" s="7" t="s">
        <v>138</v>
      </c>
      <c r="D51" s="8" t="s">
        <v>152</v>
      </c>
      <c r="E51" s="7" t="s">
        <v>23</v>
      </c>
      <c r="F51" s="7" t="s">
        <v>24</v>
      </c>
      <c r="G51" s="8" t="s">
        <v>363</v>
      </c>
      <c r="H51" s="7" t="s">
        <v>131</v>
      </c>
      <c r="I51" s="11" t="s">
        <v>206</v>
      </c>
      <c r="J51" s="7" t="s">
        <v>367</v>
      </c>
      <c r="K51" s="7" t="s">
        <v>368</v>
      </c>
      <c r="L51" s="7" t="s">
        <v>357</v>
      </c>
      <c r="M51" s="12" t="s">
        <v>31</v>
      </c>
      <c r="N51" s="7" t="s">
        <v>32</v>
      </c>
      <c r="O51" s="7" t="s">
        <v>197</v>
      </c>
      <c r="P51" s="7" t="s">
        <v>34</v>
      </c>
      <c r="Q51" s="7" t="s">
        <v>1839</v>
      </c>
      <c r="R51" s="7" t="s">
        <v>35</v>
      </c>
      <c r="S51" s="8" t="s">
        <v>369</v>
      </c>
      <c r="T51" s="7" t="s">
        <v>37</v>
      </c>
    </row>
    <row r="52" customHeight="1" spans="1:20">
      <c r="A52" s="7">
        <v>727</v>
      </c>
      <c r="B52" s="7" t="s">
        <v>397</v>
      </c>
      <c r="C52" s="7" t="s">
        <v>138</v>
      </c>
      <c r="D52" s="8" t="s">
        <v>156</v>
      </c>
      <c r="E52" s="7" t="s">
        <v>23</v>
      </c>
      <c r="F52" s="7" t="s">
        <v>24</v>
      </c>
      <c r="G52" s="8" t="s">
        <v>398</v>
      </c>
      <c r="H52" s="7" t="s">
        <v>170</v>
      </c>
      <c r="I52" s="11" t="s">
        <v>193</v>
      </c>
      <c r="J52" s="7" t="s">
        <v>399</v>
      </c>
      <c r="K52" s="7" t="s">
        <v>400</v>
      </c>
      <c r="L52" s="7" t="s">
        <v>401</v>
      </c>
      <c r="M52" s="12" t="s">
        <v>31</v>
      </c>
      <c r="N52" s="7" t="s">
        <v>32</v>
      </c>
      <c r="O52" s="7" t="s">
        <v>197</v>
      </c>
      <c r="P52" s="7" t="s">
        <v>34</v>
      </c>
      <c r="Q52" s="7" t="s">
        <v>1839</v>
      </c>
      <c r="R52" s="7" t="s">
        <v>35</v>
      </c>
      <c r="S52" s="8" t="s">
        <v>402</v>
      </c>
      <c r="T52" s="7" t="s">
        <v>37</v>
      </c>
    </row>
    <row r="53" customHeight="1" spans="1:20">
      <c r="A53" s="7">
        <v>727</v>
      </c>
      <c r="B53" s="7" t="s">
        <v>397</v>
      </c>
      <c r="C53" s="7" t="s">
        <v>138</v>
      </c>
      <c r="D53" s="8" t="s">
        <v>161</v>
      </c>
      <c r="E53" s="7" t="s">
        <v>23</v>
      </c>
      <c r="F53" s="7" t="s">
        <v>24</v>
      </c>
      <c r="G53" s="8" t="s">
        <v>398</v>
      </c>
      <c r="H53" s="7" t="s">
        <v>170</v>
      </c>
      <c r="I53" s="11" t="s">
        <v>193</v>
      </c>
      <c r="J53" s="7" t="s">
        <v>403</v>
      </c>
      <c r="K53" s="7" t="s">
        <v>404</v>
      </c>
      <c r="L53" s="7" t="s">
        <v>401</v>
      </c>
      <c r="M53" s="12" t="s">
        <v>31</v>
      </c>
      <c r="N53" s="7" t="s">
        <v>32</v>
      </c>
      <c r="O53" s="7" t="s">
        <v>197</v>
      </c>
      <c r="P53" s="7" t="s">
        <v>34</v>
      </c>
      <c r="Q53" s="7" t="s">
        <v>1839</v>
      </c>
      <c r="R53" s="7" t="s">
        <v>35</v>
      </c>
      <c r="S53" s="8" t="s">
        <v>405</v>
      </c>
      <c r="T53" s="7" t="s">
        <v>37</v>
      </c>
    </row>
    <row r="54" customHeight="1" spans="1:20">
      <c r="A54" s="7">
        <v>727</v>
      </c>
      <c r="B54" s="7" t="s">
        <v>397</v>
      </c>
      <c r="C54" s="7" t="s">
        <v>138</v>
      </c>
      <c r="D54" s="8" t="s">
        <v>139</v>
      </c>
      <c r="E54" s="7" t="s">
        <v>23</v>
      </c>
      <c r="F54" s="7" t="s">
        <v>24</v>
      </c>
      <c r="G54" s="8" t="s">
        <v>398</v>
      </c>
      <c r="H54" s="7" t="s">
        <v>170</v>
      </c>
      <c r="I54" s="11" t="s">
        <v>193</v>
      </c>
      <c r="J54" s="7" t="s">
        <v>406</v>
      </c>
      <c r="K54" s="7" t="s">
        <v>407</v>
      </c>
      <c r="L54" s="7" t="s">
        <v>401</v>
      </c>
      <c r="M54" s="12" t="s">
        <v>31</v>
      </c>
      <c r="N54" s="7" t="s">
        <v>32</v>
      </c>
      <c r="O54" s="7" t="s">
        <v>197</v>
      </c>
      <c r="P54" s="7" t="s">
        <v>34</v>
      </c>
      <c r="Q54" s="7" t="s">
        <v>1839</v>
      </c>
      <c r="R54" s="7" t="s">
        <v>35</v>
      </c>
      <c r="S54" s="8" t="s">
        <v>408</v>
      </c>
      <c r="T54" s="7" t="s">
        <v>37</v>
      </c>
    </row>
    <row r="55" customHeight="1" spans="1:20">
      <c r="A55" s="7">
        <v>727</v>
      </c>
      <c r="B55" s="7" t="s">
        <v>397</v>
      </c>
      <c r="C55" s="7" t="s">
        <v>138</v>
      </c>
      <c r="D55" s="8" t="s">
        <v>147</v>
      </c>
      <c r="E55" s="7" t="s">
        <v>23</v>
      </c>
      <c r="F55" s="7" t="s">
        <v>24</v>
      </c>
      <c r="G55" s="8" t="s">
        <v>409</v>
      </c>
      <c r="H55" s="7" t="s">
        <v>131</v>
      </c>
      <c r="I55" s="11" t="s">
        <v>206</v>
      </c>
      <c r="J55" s="7" t="s">
        <v>410</v>
      </c>
      <c r="K55" s="7" t="s">
        <v>411</v>
      </c>
      <c r="L55" s="7" t="s">
        <v>401</v>
      </c>
      <c r="M55" s="12" t="s">
        <v>31</v>
      </c>
      <c r="N55" s="7" t="s">
        <v>32</v>
      </c>
      <c r="O55" s="7" t="s">
        <v>197</v>
      </c>
      <c r="P55" s="7" t="s">
        <v>34</v>
      </c>
      <c r="Q55" s="7" t="s">
        <v>1839</v>
      </c>
      <c r="R55" s="7" t="s">
        <v>35</v>
      </c>
      <c r="S55" s="8" t="s">
        <v>412</v>
      </c>
      <c r="T55" s="7" t="s">
        <v>37</v>
      </c>
    </row>
    <row r="56" customHeight="1" spans="1:20">
      <c r="A56" s="7">
        <v>727</v>
      </c>
      <c r="B56" s="7" t="s">
        <v>397</v>
      </c>
      <c r="C56" s="7" t="s">
        <v>138</v>
      </c>
      <c r="D56" s="8" t="s">
        <v>152</v>
      </c>
      <c r="E56" s="7" t="s">
        <v>23</v>
      </c>
      <c r="F56" s="7" t="s">
        <v>24</v>
      </c>
      <c r="G56" s="8" t="s">
        <v>409</v>
      </c>
      <c r="H56" s="7" t="s">
        <v>131</v>
      </c>
      <c r="I56" s="11" t="s">
        <v>206</v>
      </c>
      <c r="J56" s="7" t="s">
        <v>413</v>
      </c>
      <c r="K56" s="7" t="s">
        <v>414</v>
      </c>
      <c r="L56" s="7" t="s">
        <v>401</v>
      </c>
      <c r="M56" s="12" t="s">
        <v>31</v>
      </c>
      <c r="N56" s="7" t="s">
        <v>32</v>
      </c>
      <c r="O56" s="7" t="s">
        <v>197</v>
      </c>
      <c r="P56" s="7" t="s">
        <v>34</v>
      </c>
      <c r="Q56" s="7" t="s">
        <v>1839</v>
      </c>
      <c r="R56" s="7" t="s">
        <v>35</v>
      </c>
      <c r="S56" s="8" t="s">
        <v>415</v>
      </c>
      <c r="T56" s="7" t="s">
        <v>37</v>
      </c>
    </row>
    <row r="57" customHeight="1" spans="1:20">
      <c r="A57" s="7">
        <v>357</v>
      </c>
      <c r="B57" s="7" t="s">
        <v>416</v>
      </c>
      <c r="C57" s="7" t="s">
        <v>138</v>
      </c>
      <c r="D57" s="8" t="s">
        <v>147</v>
      </c>
      <c r="E57" s="7" t="s">
        <v>23</v>
      </c>
      <c r="F57" s="7" t="s">
        <v>24</v>
      </c>
      <c r="G57" s="8" t="s">
        <v>417</v>
      </c>
      <c r="H57" s="7" t="s">
        <v>131</v>
      </c>
      <c r="I57" s="11" t="s">
        <v>206</v>
      </c>
      <c r="J57" s="7" t="s">
        <v>418</v>
      </c>
      <c r="K57" s="7" t="s">
        <v>419</v>
      </c>
      <c r="L57" s="7" t="s">
        <v>420</v>
      </c>
      <c r="M57" s="12" t="s">
        <v>31</v>
      </c>
      <c r="N57" s="7" t="s">
        <v>32</v>
      </c>
      <c r="O57" s="7" t="s">
        <v>197</v>
      </c>
      <c r="P57" s="7" t="s">
        <v>34</v>
      </c>
      <c r="Q57" s="7" t="s">
        <v>1839</v>
      </c>
      <c r="R57" s="7" t="s">
        <v>35</v>
      </c>
      <c r="S57" s="8" t="s">
        <v>421</v>
      </c>
      <c r="T57" s="7" t="s">
        <v>37</v>
      </c>
    </row>
    <row r="58" customHeight="1" spans="1:20">
      <c r="A58" s="7">
        <v>357</v>
      </c>
      <c r="B58" s="7" t="s">
        <v>416</v>
      </c>
      <c r="C58" s="7" t="s">
        <v>138</v>
      </c>
      <c r="D58" s="8" t="s">
        <v>152</v>
      </c>
      <c r="E58" s="7" t="s">
        <v>23</v>
      </c>
      <c r="F58" s="7" t="s">
        <v>24</v>
      </c>
      <c r="G58" s="8" t="s">
        <v>417</v>
      </c>
      <c r="H58" s="7" t="s">
        <v>131</v>
      </c>
      <c r="I58" s="11" t="s">
        <v>206</v>
      </c>
      <c r="J58" s="7" t="s">
        <v>422</v>
      </c>
      <c r="K58" s="7" t="s">
        <v>423</v>
      </c>
      <c r="L58" s="7" t="s">
        <v>420</v>
      </c>
      <c r="M58" s="12" t="s">
        <v>31</v>
      </c>
      <c r="N58" s="7" t="s">
        <v>32</v>
      </c>
      <c r="O58" s="7" t="s">
        <v>197</v>
      </c>
      <c r="P58" s="7" t="s">
        <v>34</v>
      </c>
      <c r="Q58" s="7" t="s">
        <v>1839</v>
      </c>
      <c r="R58" s="7" t="s">
        <v>35</v>
      </c>
      <c r="S58" s="8" t="s">
        <v>424</v>
      </c>
      <c r="T58" s="7" t="s">
        <v>37</v>
      </c>
    </row>
    <row r="59" customHeight="1" spans="1:20">
      <c r="A59" s="7">
        <v>117491</v>
      </c>
      <c r="B59" s="7" t="s">
        <v>425</v>
      </c>
      <c r="C59" s="7" t="s">
        <v>138</v>
      </c>
      <c r="D59" s="8" t="s">
        <v>168</v>
      </c>
      <c r="E59" s="7" t="s">
        <v>23</v>
      </c>
      <c r="F59" s="7" t="s">
        <v>24</v>
      </c>
      <c r="G59" s="8" t="s">
        <v>426</v>
      </c>
      <c r="H59" s="7" t="s">
        <v>131</v>
      </c>
      <c r="I59" s="11" t="s">
        <v>206</v>
      </c>
      <c r="J59" s="7" t="s">
        <v>427</v>
      </c>
      <c r="K59" s="7" t="s">
        <v>428</v>
      </c>
      <c r="L59" s="7" t="s">
        <v>429</v>
      </c>
      <c r="M59" s="12" t="s">
        <v>31</v>
      </c>
      <c r="N59" s="7" t="s">
        <v>32</v>
      </c>
      <c r="O59" s="7" t="s">
        <v>197</v>
      </c>
      <c r="P59" s="7" t="s">
        <v>34</v>
      </c>
      <c r="Q59" s="7" t="s">
        <v>1839</v>
      </c>
      <c r="R59" s="7" t="s">
        <v>35</v>
      </c>
      <c r="S59" s="8" t="s">
        <v>430</v>
      </c>
      <c r="T59" s="7" t="s">
        <v>37</v>
      </c>
    </row>
    <row r="60" customHeight="1" spans="1:20">
      <c r="A60" s="7">
        <v>117491</v>
      </c>
      <c r="B60" s="7" t="s">
        <v>425</v>
      </c>
      <c r="C60" s="7" t="s">
        <v>138</v>
      </c>
      <c r="D60" s="8" t="s">
        <v>147</v>
      </c>
      <c r="E60" s="7" t="s">
        <v>23</v>
      </c>
      <c r="F60" s="7" t="s">
        <v>24</v>
      </c>
      <c r="G60" s="8" t="s">
        <v>431</v>
      </c>
      <c r="H60" s="7" t="s">
        <v>131</v>
      </c>
      <c r="I60" s="11" t="s">
        <v>206</v>
      </c>
      <c r="J60" s="7" t="s">
        <v>432</v>
      </c>
      <c r="K60" s="7" t="s">
        <v>433</v>
      </c>
      <c r="L60" s="7" t="s">
        <v>429</v>
      </c>
      <c r="M60" s="12" t="s">
        <v>31</v>
      </c>
      <c r="N60" s="7" t="s">
        <v>32</v>
      </c>
      <c r="O60" s="7" t="s">
        <v>197</v>
      </c>
      <c r="P60" s="7" t="s">
        <v>34</v>
      </c>
      <c r="Q60" s="7" t="s">
        <v>1839</v>
      </c>
      <c r="R60" s="7" t="s">
        <v>35</v>
      </c>
      <c r="S60" s="8" t="s">
        <v>434</v>
      </c>
      <c r="T60" s="7" t="s">
        <v>37</v>
      </c>
    </row>
    <row r="61" customHeight="1" spans="1:20">
      <c r="A61" s="7">
        <v>117491</v>
      </c>
      <c r="B61" s="7" t="s">
        <v>425</v>
      </c>
      <c r="C61" s="7" t="s">
        <v>138</v>
      </c>
      <c r="D61" s="8" t="s">
        <v>152</v>
      </c>
      <c r="E61" s="7" t="s">
        <v>23</v>
      </c>
      <c r="F61" s="7" t="s">
        <v>24</v>
      </c>
      <c r="G61" s="8" t="s">
        <v>431</v>
      </c>
      <c r="H61" s="7" t="s">
        <v>131</v>
      </c>
      <c r="I61" s="11" t="s">
        <v>206</v>
      </c>
      <c r="J61" s="7" t="s">
        <v>435</v>
      </c>
      <c r="K61" s="7" t="s">
        <v>436</v>
      </c>
      <c r="L61" s="7" t="s">
        <v>429</v>
      </c>
      <c r="M61" s="12" t="s">
        <v>31</v>
      </c>
      <c r="N61" s="7" t="s">
        <v>32</v>
      </c>
      <c r="O61" s="7" t="s">
        <v>197</v>
      </c>
      <c r="P61" s="7" t="s">
        <v>34</v>
      </c>
      <c r="Q61" s="7" t="s">
        <v>1839</v>
      </c>
      <c r="R61" s="7" t="s">
        <v>35</v>
      </c>
      <c r="S61" s="8" t="s">
        <v>437</v>
      </c>
      <c r="T61" s="7" t="s">
        <v>37</v>
      </c>
    </row>
    <row r="62" customHeight="1" spans="1:20">
      <c r="A62" s="7">
        <v>117491</v>
      </c>
      <c r="B62" s="7" t="s">
        <v>425</v>
      </c>
      <c r="C62" s="7" t="s">
        <v>21</v>
      </c>
      <c r="D62" s="8" t="s">
        <v>22</v>
      </c>
      <c r="E62" s="7" t="s">
        <v>23</v>
      </c>
      <c r="F62" s="7" t="s">
        <v>24</v>
      </c>
      <c r="G62" s="8" t="s">
        <v>438</v>
      </c>
      <c r="H62" s="7" t="s">
        <v>130</v>
      </c>
      <c r="I62" s="11" t="s">
        <v>131</v>
      </c>
      <c r="J62" s="7" t="s">
        <v>439</v>
      </c>
      <c r="K62" s="7" t="s">
        <v>440</v>
      </c>
      <c r="L62" s="7" t="s">
        <v>429</v>
      </c>
      <c r="M62" s="12" t="s">
        <v>31</v>
      </c>
      <c r="N62" s="7" t="s">
        <v>32</v>
      </c>
      <c r="O62" s="7" t="s">
        <v>197</v>
      </c>
      <c r="P62" s="7" t="s">
        <v>34</v>
      </c>
      <c r="Q62" s="7" t="s">
        <v>1839</v>
      </c>
      <c r="R62" s="7" t="s">
        <v>35</v>
      </c>
      <c r="S62" s="8" t="s">
        <v>441</v>
      </c>
      <c r="T62" s="7" t="s">
        <v>37</v>
      </c>
    </row>
    <row r="63" customHeight="1" spans="1:20">
      <c r="A63" s="7">
        <v>105267</v>
      </c>
      <c r="B63" s="7" t="s">
        <v>442</v>
      </c>
      <c r="C63" s="7" t="s">
        <v>138</v>
      </c>
      <c r="D63" s="8" t="s">
        <v>147</v>
      </c>
      <c r="E63" s="7" t="s">
        <v>23</v>
      </c>
      <c r="F63" s="7" t="s">
        <v>24</v>
      </c>
      <c r="G63" s="8" t="s">
        <v>443</v>
      </c>
      <c r="H63" s="7" t="s">
        <v>131</v>
      </c>
      <c r="I63" s="11" t="s">
        <v>206</v>
      </c>
      <c r="J63" s="7" t="s">
        <v>444</v>
      </c>
      <c r="K63" s="7" t="s">
        <v>445</v>
      </c>
      <c r="L63" s="7" t="s">
        <v>244</v>
      </c>
      <c r="M63" s="12" t="s">
        <v>31</v>
      </c>
      <c r="N63" s="7" t="s">
        <v>32</v>
      </c>
      <c r="O63" s="7" t="s">
        <v>197</v>
      </c>
      <c r="P63" s="7" t="s">
        <v>34</v>
      </c>
      <c r="Q63" s="7" t="s">
        <v>1839</v>
      </c>
      <c r="R63" s="7" t="s">
        <v>35</v>
      </c>
      <c r="S63" s="8" t="s">
        <v>446</v>
      </c>
      <c r="T63" s="7" t="s">
        <v>37</v>
      </c>
    </row>
    <row r="64" customHeight="1" spans="1:20">
      <c r="A64" s="7">
        <v>105267</v>
      </c>
      <c r="B64" s="7" t="s">
        <v>442</v>
      </c>
      <c r="C64" s="7" t="s">
        <v>138</v>
      </c>
      <c r="D64" s="8" t="s">
        <v>152</v>
      </c>
      <c r="E64" s="7" t="s">
        <v>23</v>
      </c>
      <c r="F64" s="7" t="s">
        <v>24</v>
      </c>
      <c r="G64" s="8" t="s">
        <v>443</v>
      </c>
      <c r="H64" s="7" t="s">
        <v>131</v>
      </c>
      <c r="I64" s="11" t="s">
        <v>206</v>
      </c>
      <c r="J64" s="7" t="s">
        <v>447</v>
      </c>
      <c r="K64" s="7" t="s">
        <v>448</v>
      </c>
      <c r="L64" s="7" t="s">
        <v>244</v>
      </c>
      <c r="M64" s="12" t="s">
        <v>31</v>
      </c>
      <c r="N64" s="7" t="s">
        <v>32</v>
      </c>
      <c r="O64" s="7" t="s">
        <v>197</v>
      </c>
      <c r="P64" s="7" t="s">
        <v>34</v>
      </c>
      <c r="Q64" s="7" t="s">
        <v>1839</v>
      </c>
      <c r="R64" s="7" t="s">
        <v>35</v>
      </c>
      <c r="S64" s="8" t="s">
        <v>449</v>
      </c>
      <c r="T64" s="7" t="s">
        <v>37</v>
      </c>
    </row>
    <row r="65" customHeight="1" spans="1:20">
      <c r="A65" s="7">
        <v>105267</v>
      </c>
      <c r="B65" s="7" t="s">
        <v>442</v>
      </c>
      <c r="C65" s="7" t="s">
        <v>21</v>
      </c>
      <c r="D65" s="8" t="s">
        <v>22</v>
      </c>
      <c r="E65" s="7" t="s">
        <v>23</v>
      </c>
      <c r="F65" s="7" t="s">
        <v>24</v>
      </c>
      <c r="G65" s="8" t="s">
        <v>450</v>
      </c>
      <c r="H65" s="7" t="s">
        <v>130</v>
      </c>
      <c r="I65" s="11" t="s">
        <v>131</v>
      </c>
      <c r="J65" s="7" t="s">
        <v>451</v>
      </c>
      <c r="K65" s="7" t="s">
        <v>452</v>
      </c>
      <c r="L65" s="7" t="s">
        <v>244</v>
      </c>
      <c r="M65" s="12" t="s">
        <v>31</v>
      </c>
      <c r="N65" s="7" t="s">
        <v>32</v>
      </c>
      <c r="O65" s="7" t="s">
        <v>197</v>
      </c>
      <c r="P65" s="7" t="s">
        <v>34</v>
      </c>
      <c r="Q65" s="7" t="s">
        <v>1839</v>
      </c>
      <c r="R65" s="7" t="s">
        <v>35</v>
      </c>
      <c r="S65" s="8" t="s">
        <v>453</v>
      </c>
      <c r="T65" s="7" t="s">
        <v>37</v>
      </c>
    </row>
    <row r="66" customHeight="1" spans="1:20">
      <c r="A66" s="7">
        <v>117310</v>
      </c>
      <c r="B66" s="7" t="s">
        <v>454</v>
      </c>
      <c r="C66" s="7" t="s">
        <v>138</v>
      </c>
      <c r="D66" s="8" t="s">
        <v>168</v>
      </c>
      <c r="E66" s="7" t="s">
        <v>23</v>
      </c>
      <c r="F66" s="7" t="s">
        <v>24</v>
      </c>
      <c r="G66" s="8" t="s">
        <v>455</v>
      </c>
      <c r="H66" s="7" t="s">
        <v>131</v>
      </c>
      <c r="I66" s="11" t="s">
        <v>206</v>
      </c>
      <c r="J66" s="7" t="s">
        <v>456</v>
      </c>
      <c r="K66" s="7" t="s">
        <v>457</v>
      </c>
      <c r="L66" s="7" t="s">
        <v>458</v>
      </c>
      <c r="M66" s="12" t="s">
        <v>31</v>
      </c>
      <c r="N66" s="7" t="s">
        <v>32</v>
      </c>
      <c r="O66" s="7" t="s">
        <v>197</v>
      </c>
      <c r="P66" s="7" t="s">
        <v>34</v>
      </c>
      <c r="Q66" s="7" t="s">
        <v>1839</v>
      </c>
      <c r="R66" s="7" t="s">
        <v>35</v>
      </c>
      <c r="S66" s="8" t="s">
        <v>459</v>
      </c>
      <c r="T66" s="7" t="s">
        <v>37</v>
      </c>
    </row>
    <row r="67" customHeight="1" spans="1:20">
      <c r="A67" s="7"/>
      <c r="B67" s="7" t="s">
        <v>460</v>
      </c>
      <c r="C67" s="7" t="s">
        <v>21</v>
      </c>
      <c r="D67" s="8" t="s">
        <v>22</v>
      </c>
      <c r="E67" s="7" t="s">
        <v>23</v>
      </c>
      <c r="F67" s="7" t="s">
        <v>461</v>
      </c>
      <c r="G67" s="8" t="s">
        <v>462</v>
      </c>
      <c r="H67" s="7" t="s">
        <v>131</v>
      </c>
      <c r="I67" s="11" t="s">
        <v>206</v>
      </c>
      <c r="J67" s="7" t="s">
        <v>463</v>
      </c>
      <c r="K67" s="7" t="s">
        <v>463</v>
      </c>
      <c r="L67" s="7" t="s">
        <v>464</v>
      </c>
      <c r="M67" s="12" t="s">
        <v>31</v>
      </c>
      <c r="N67" s="7" t="s">
        <v>464</v>
      </c>
      <c r="O67" s="7" t="s">
        <v>465</v>
      </c>
      <c r="P67" s="7" t="s">
        <v>34</v>
      </c>
      <c r="Q67" s="7" t="s">
        <v>34</v>
      </c>
      <c r="R67" s="7" t="s">
        <v>35</v>
      </c>
      <c r="S67" s="8" t="s">
        <v>466</v>
      </c>
      <c r="T67" s="7" t="s">
        <v>37</v>
      </c>
    </row>
    <row r="68" customHeight="1" spans="1:20">
      <c r="A68" s="7"/>
      <c r="B68" s="7" t="s">
        <v>460</v>
      </c>
      <c r="C68" s="7" t="s">
        <v>138</v>
      </c>
      <c r="D68" s="8" t="s">
        <v>168</v>
      </c>
      <c r="E68" s="7" t="s">
        <v>23</v>
      </c>
      <c r="F68" s="7" t="s">
        <v>461</v>
      </c>
      <c r="G68" s="8" t="s">
        <v>467</v>
      </c>
      <c r="H68" s="7" t="s">
        <v>131</v>
      </c>
      <c r="I68" s="11" t="s">
        <v>206</v>
      </c>
      <c r="J68" s="7" t="s">
        <v>463</v>
      </c>
      <c r="K68" s="7" t="s">
        <v>463</v>
      </c>
      <c r="L68" s="7" t="s">
        <v>464</v>
      </c>
      <c r="M68" s="12" t="s">
        <v>31</v>
      </c>
      <c r="N68" s="7" t="s">
        <v>464</v>
      </c>
      <c r="O68" s="7" t="s">
        <v>465</v>
      </c>
      <c r="P68" s="7" t="s">
        <v>34</v>
      </c>
      <c r="Q68" s="7" t="s">
        <v>34</v>
      </c>
      <c r="R68" s="7" t="s">
        <v>35</v>
      </c>
      <c r="S68" s="8" t="s">
        <v>468</v>
      </c>
      <c r="T68" s="7" t="s">
        <v>37</v>
      </c>
    </row>
    <row r="69" customHeight="1" spans="1:20">
      <c r="A69" s="7">
        <v>704</v>
      </c>
      <c r="B69" s="7" t="s">
        <v>469</v>
      </c>
      <c r="C69" s="7" t="s">
        <v>138</v>
      </c>
      <c r="D69" s="8" t="s">
        <v>174</v>
      </c>
      <c r="E69" s="7" t="s">
        <v>23</v>
      </c>
      <c r="F69" s="7" t="s">
        <v>24</v>
      </c>
      <c r="G69" s="8" t="s">
        <v>470</v>
      </c>
      <c r="H69" s="7" t="s">
        <v>130</v>
      </c>
      <c r="I69" s="11" t="s">
        <v>131</v>
      </c>
      <c r="J69" s="7" t="s">
        <v>471</v>
      </c>
      <c r="K69" s="7" t="s">
        <v>472</v>
      </c>
      <c r="L69" s="7" t="s">
        <v>473</v>
      </c>
      <c r="M69" s="12" t="s">
        <v>31</v>
      </c>
      <c r="N69" s="7" t="s">
        <v>32</v>
      </c>
      <c r="O69" s="7" t="s">
        <v>145</v>
      </c>
      <c r="P69" s="7" t="s">
        <v>34</v>
      </c>
      <c r="Q69" s="7" t="s">
        <v>1839</v>
      </c>
      <c r="R69" s="7" t="s">
        <v>35</v>
      </c>
      <c r="S69" s="8" t="s">
        <v>474</v>
      </c>
      <c r="T69" s="7" t="s">
        <v>37</v>
      </c>
    </row>
    <row r="70" customHeight="1" spans="1:20">
      <c r="A70" s="7">
        <v>704</v>
      </c>
      <c r="B70" s="7" t="s">
        <v>469</v>
      </c>
      <c r="C70" s="7" t="s">
        <v>138</v>
      </c>
      <c r="D70" s="8" t="s">
        <v>179</v>
      </c>
      <c r="E70" s="7" t="s">
        <v>23</v>
      </c>
      <c r="F70" s="7" t="s">
        <v>24</v>
      </c>
      <c r="G70" s="8" t="s">
        <v>470</v>
      </c>
      <c r="H70" s="7" t="s">
        <v>130</v>
      </c>
      <c r="I70" s="11" t="s">
        <v>131</v>
      </c>
      <c r="J70" s="7" t="s">
        <v>475</v>
      </c>
      <c r="K70" s="7" t="s">
        <v>476</v>
      </c>
      <c r="L70" s="7" t="s">
        <v>473</v>
      </c>
      <c r="M70" s="12" t="s">
        <v>31</v>
      </c>
      <c r="N70" s="7" t="s">
        <v>32</v>
      </c>
      <c r="O70" s="7" t="s">
        <v>145</v>
      </c>
      <c r="P70" s="7" t="s">
        <v>34</v>
      </c>
      <c r="Q70" s="7" t="s">
        <v>1839</v>
      </c>
      <c r="R70" s="7" t="s">
        <v>35</v>
      </c>
      <c r="S70" s="8" t="s">
        <v>477</v>
      </c>
      <c r="T70" s="7" t="s">
        <v>37</v>
      </c>
    </row>
    <row r="71" customHeight="1" spans="1:20">
      <c r="A71" s="7">
        <v>704</v>
      </c>
      <c r="B71" s="7" t="s">
        <v>469</v>
      </c>
      <c r="C71" s="7" t="s">
        <v>138</v>
      </c>
      <c r="D71" s="8" t="s">
        <v>183</v>
      </c>
      <c r="E71" s="7" t="s">
        <v>23</v>
      </c>
      <c r="F71" s="7" t="s">
        <v>24</v>
      </c>
      <c r="G71" s="8" t="s">
        <v>470</v>
      </c>
      <c r="H71" s="7" t="s">
        <v>130</v>
      </c>
      <c r="I71" s="11" t="s">
        <v>131</v>
      </c>
      <c r="J71" s="7" t="s">
        <v>478</v>
      </c>
      <c r="K71" s="7" t="s">
        <v>479</v>
      </c>
      <c r="L71" s="7" t="s">
        <v>473</v>
      </c>
      <c r="M71" s="12" t="s">
        <v>31</v>
      </c>
      <c r="N71" s="7" t="s">
        <v>32</v>
      </c>
      <c r="O71" s="7" t="s">
        <v>145</v>
      </c>
      <c r="P71" s="7" t="s">
        <v>34</v>
      </c>
      <c r="Q71" s="7" t="s">
        <v>1839</v>
      </c>
      <c r="R71" s="7" t="s">
        <v>35</v>
      </c>
      <c r="S71" s="8" t="s">
        <v>480</v>
      </c>
      <c r="T71" s="7" t="s">
        <v>37</v>
      </c>
    </row>
    <row r="72" customHeight="1" spans="1:20">
      <c r="A72" s="7">
        <v>704</v>
      </c>
      <c r="B72" s="7" t="s">
        <v>469</v>
      </c>
      <c r="C72" s="7" t="s">
        <v>21</v>
      </c>
      <c r="D72" s="8" t="s">
        <v>22</v>
      </c>
      <c r="E72" s="7" t="s">
        <v>23</v>
      </c>
      <c r="F72" s="7" t="s">
        <v>24</v>
      </c>
      <c r="G72" s="8" t="s">
        <v>481</v>
      </c>
      <c r="H72" s="7" t="s">
        <v>130</v>
      </c>
      <c r="I72" s="11" t="s">
        <v>131</v>
      </c>
      <c r="J72" s="7" t="s">
        <v>482</v>
      </c>
      <c r="K72" s="7" t="s">
        <v>483</v>
      </c>
      <c r="L72" s="7" t="s">
        <v>473</v>
      </c>
      <c r="M72" s="12" t="s">
        <v>31</v>
      </c>
      <c r="N72" s="7" t="s">
        <v>32</v>
      </c>
      <c r="O72" s="7" t="s">
        <v>145</v>
      </c>
      <c r="P72" s="7" t="s">
        <v>34</v>
      </c>
      <c r="Q72" s="7" t="s">
        <v>1839</v>
      </c>
      <c r="R72" s="7" t="s">
        <v>35</v>
      </c>
      <c r="S72" s="8" t="s">
        <v>484</v>
      </c>
      <c r="T72" s="7" t="s">
        <v>37</v>
      </c>
    </row>
    <row r="73" customHeight="1" spans="1:20">
      <c r="A73" s="7">
        <v>704</v>
      </c>
      <c r="B73" s="7" t="s">
        <v>469</v>
      </c>
      <c r="C73" s="7" t="s">
        <v>138</v>
      </c>
      <c r="D73" s="8" t="s">
        <v>168</v>
      </c>
      <c r="E73" s="7" t="s">
        <v>23</v>
      </c>
      <c r="F73" s="7" t="s">
        <v>24</v>
      </c>
      <c r="G73" s="8" t="s">
        <v>485</v>
      </c>
      <c r="H73" s="7" t="s">
        <v>54</v>
      </c>
      <c r="I73" s="11" t="s">
        <v>170</v>
      </c>
      <c r="J73" s="7" t="s">
        <v>486</v>
      </c>
      <c r="K73" s="7" t="s">
        <v>487</v>
      </c>
      <c r="L73" s="7" t="s">
        <v>473</v>
      </c>
      <c r="M73" s="12" t="s">
        <v>31</v>
      </c>
      <c r="N73" s="7" t="s">
        <v>32</v>
      </c>
      <c r="O73" s="7" t="s">
        <v>145</v>
      </c>
      <c r="P73" s="7" t="s">
        <v>34</v>
      </c>
      <c r="Q73" s="7" t="s">
        <v>1839</v>
      </c>
      <c r="R73" s="7" t="s">
        <v>35</v>
      </c>
      <c r="S73" s="8" t="s">
        <v>488</v>
      </c>
      <c r="T73" s="7" t="s">
        <v>37</v>
      </c>
    </row>
    <row r="74" customHeight="1" spans="1:20">
      <c r="A74" s="7">
        <v>105910</v>
      </c>
      <c r="B74" s="7" t="s">
        <v>489</v>
      </c>
      <c r="C74" s="7" t="s">
        <v>21</v>
      </c>
      <c r="D74" s="8" t="s">
        <v>22</v>
      </c>
      <c r="E74" s="7" t="s">
        <v>23</v>
      </c>
      <c r="F74" s="7" t="s">
        <v>24</v>
      </c>
      <c r="G74" s="8" t="s">
        <v>490</v>
      </c>
      <c r="H74" s="7" t="s">
        <v>130</v>
      </c>
      <c r="I74" s="11" t="s">
        <v>131</v>
      </c>
      <c r="J74" s="7" t="s">
        <v>491</v>
      </c>
      <c r="K74" s="7" t="s">
        <v>492</v>
      </c>
      <c r="L74" s="7" t="s">
        <v>493</v>
      </c>
      <c r="M74" s="12" t="s">
        <v>31</v>
      </c>
      <c r="N74" s="7" t="s">
        <v>32</v>
      </c>
      <c r="O74" s="7" t="s">
        <v>197</v>
      </c>
      <c r="P74" s="7" t="s">
        <v>34</v>
      </c>
      <c r="Q74" s="7" t="s">
        <v>1839</v>
      </c>
      <c r="R74" s="7" t="s">
        <v>35</v>
      </c>
      <c r="S74" s="8" t="s">
        <v>494</v>
      </c>
      <c r="T74" s="7" t="s">
        <v>37</v>
      </c>
    </row>
    <row r="75" customHeight="1" spans="1:20">
      <c r="A75" s="7">
        <v>582</v>
      </c>
      <c r="B75" s="7" t="s">
        <v>495</v>
      </c>
      <c r="C75" s="7" t="s">
        <v>138</v>
      </c>
      <c r="D75" s="8" t="s">
        <v>257</v>
      </c>
      <c r="E75" s="7" t="s">
        <v>23</v>
      </c>
      <c r="F75" s="7" t="s">
        <v>24</v>
      </c>
      <c r="G75" s="8" t="s">
        <v>496</v>
      </c>
      <c r="H75" s="7" t="s">
        <v>497</v>
      </c>
      <c r="I75" s="11" t="s">
        <v>26</v>
      </c>
      <c r="J75" s="7" t="s">
        <v>498</v>
      </c>
      <c r="K75" s="7" t="s">
        <v>499</v>
      </c>
      <c r="L75" s="7" t="s">
        <v>500</v>
      </c>
      <c r="M75" s="12" t="s">
        <v>31</v>
      </c>
      <c r="N75" s="7" t="s">
        <v>32</v>
      </c>
      <c r="O75" s="7" t="s">
        <v>197</v>
      </c>
      <c r="P75" s="7" t="s">
        <v>34</v>
      </c>
      <c r="Q75" s="7" t="s">
        <v>1839</v>
      </c>
      <c r="R75" s="7" t="s">
        <v>35</v>
      </c>
      <c r="S75" s="8" t="s">
        <v>501</v>
      </c>
      <c r="T75" s="7" t="s">
        <v>37</v>
      </c>
    </row>
    <row r="76" customHeight="1" spans="1:20">
      <c r="A76" s="7">
        <v>582</v>
      </c>
      <c r="B76" s="7" t="s">
        <v>495</v>
      </c>
      <c r="C76" s="7" t="s">
        <v>21</v>
      </c>
      <c r="D76" s="8" t="s">
        <v>22</v>
      </c>
      <c r="E76" s="7" t="s">
        <v>23</v>
      </c>
      <c r="F76" s="7" t="s">
        <v>24</v>
      </c>
      <c r="G76" s="8" t="s">
        <v>502</v>
      </c>
      <c r="H76" s="7" t="s">
        <v>130</v>
      </c>
      <c r="I76" s="11" t="s">
        <v>131</v>
      </c>
      <c r="J76" s="7" t="s">
        <v>503</v>
      </c>
      <c r="K76" s="7" t="s">
        <v>504</v>
      </c>
      <c r="L76" s="7" t="s">
        <v>500</v>
      </c>
      <c r="M76" s="12" t="s">
        <v>31</v>
      </c>
      <c r="N76" s="7" t="s">
        <v>32</v>
      </c>
      <c r="O76" s="7" t="s">
        <v>197</v>
      </c>
      <c r="P76" s="7" t="s">
        <v>34</v>
      </c>
      <c r="Q76" s="7" t="s">
        <v>1839</v>
      </c>
      <c r="R76" s="7" t="s">
        <v>35</v>
      </c>
      <c r="S76" s="8" t="s">
        <v>505</v>
      </c>
      <c r="T76" s="7" t="s">
        <v>37</v>
      </c>
    </row>
    <row r="77" customHeight="1" spans="1:20">
      <c r="A77" s="7">
        <v>513</v>
      </c>
      <c r="B77" s="7" t="s">
        <v>506</v>
      </c>
      <c r="C77" s="7" t="s">
        <v>138</v>
      </c>
      <c r="D77" s="8" t="s">
        <v>257</v>
      </c>
      <c r="E77" s="7" t="s">
        <v>23</v>
      </c>
      <c r="F77" s="7" t="s">
        <v>24</v>
      </c>
      <c r="G77" s="8" t="s">
        <v>507</v>
      </c>
      <c r="H77" s="7" t="s">
        <v>497</v>
      </c>
      <c r="I77" s="11" t="s">
        <v>26</v>
      </c>
      <c r="J77" s="7" t="s">
        <v>508</v>
      </c>
      <c r="K77" s="7" t="s">
        <v>509</v>
      </c>
      <c r="L77" s="7" t="s">
        <v>510</v>
      </c>
      <c r="M77" s="12" t="s">
        <v>31</v>
      </c>
      <c r="N77" s="7" t="s">
        <v>32</v>
      </c>
      <c r="O77" s="7" t="s">
        <v>197</v>
      </c>
      <c r="P77" s="7" t="s">
        <v>34</v>
      </c>
      <c r="Q77" s="7" t="s">
        <v>1839</v>
      </c>
      <c r="R77" s="7" t="s">
        <v>35</v>
      </c>
      <c r="S77" s="8" t="s">
        <v>511</v>
      </c>
      <c r="T77" s="7" t="s">
        <v>37</v>
      </c>
    </row>
    <row r="78" customHeight="1" spans="1:20">
      <c r="A78" s="7">
        <v>513</v>
      </c>
      <c r="B78" s="7" t="s">
        <v>506</v>
      </c>
      <c r="C78" s="7" t="s">
        <v>138</v>
      </c>
      <c r="D78" s="8" t="s">
        <v>139</v>
      </c>
      <c r="E78" s="7" t="s">
        <v>23</v>
      </c>
      <c r="F78" s="7" t="s">
        <v>24</v>
      </c>
      <c r="G78" s="8" t="s">
        <v>512</v>
      </c>
      <c r="H78" s="7" t="s">
        <v>241</v>
      </c>
      <c r="I78" s="11" t="s">
        <v>130</v>
      </c>
      <c r="J78" s="7" t="s">
        <v>513</v>
      </c>
      <c r="K78" s="7" t="s">
        <v>514</v>
      </c>
      <c r="L78" s="7" t="s">
        <v>510</v>
      </c>
      <c r="M78" s="12" t="s">
        <v>31</v>
      </c>
      <c r="N78" s="7" t="s">
        <v>32</v>
      </c>
      <c r="O78" s="7" t="s">
        <v>197</v>
      </c>
      <c r="P78" s="7" t="s">
        <v>34</v>
      </c>
      <c r="Q78" s="7" t="s">
        <v>1839</v>
      </c>
      <c r="R78" s="7" t="s">
        <v>35</v>
      </c>
      <c r="S78" s="8" t="s">
        <v>515</v>
      </c>
      <c r="T78" s="7" t="s">
        <v>37</v>
      </c>
    </row>
    <row r="79" customHeight="1" spans="1:20">
      <c r="A79" s="7">
        <v>513</v>
      </c>
      <c r="B79" s="7" t="s">
        <v>506</v>
      </c>
      <c r="C79" s="7" t="s">
        <v>138</v>
      </c>
      <c r="D79" s="8" t="s">
        <v>161</v>
      </c>
      <c r="E79" s="7" t="s">
        <v>23</v>
      </c>
      <c r="F79" s="7" t="s">
        <v>24</v>
      </c>
      <c r="G79" s="8" t="s">
        <v>512</v>
      </c>
      <c r="H79" s="7" t="s">
        <v>241</v>
      </c>
      <c r="I79" s="11" t="s">
        <v>130</v>
      </c>
      <c r="J79" s="7" t="s">
        <v>516</v>
      </c>
      <c r="K79" s="7" t="s">
        <v>517</v>
      </c>
      <c r="L79" s="7" t="s">
        <v>510</v>
      </c>
      <c r="M79" s="12" t="s">
        <v>31</v>
      </c>
      <c r="N79" s="7" t="s">
        <v>32</v>
      </c>
      <c r="O79" s="7" t="s">
        <v>197</v>
      </c>
      <c r="P79" s="7" t="s">
        <v>34</v>
      </c>
      <c r="Q79" s="7" t="s">
        <v>1839</v>
      </c>
      <c r="R79" s="7" t="s">
        <v>35</v>
      </c>
      <c r="S79" s="8" t="s">
        <v>518</v>
      </c>
      <c r="T79" s="7" t="s">
        <v>37</v>
      </c>
    </row>
    <row r="80" customHeight="1" spans="1:20">
      <c r="A80" s="7">
        <v>513</v>
      </c>
      <c r="B80" s="7" t="s">
        <v>506</v>
      </c>
      <c r="C80" s="7" t="s">
        <v>138</v>
      </c>
      <c r="D80" s="8" t="s">
        <v>156</v>
      </c>
      <c r="E80" s="7" t="s">
        <v>23</v>
      </c>
      <c r="F80" s="7" t="s">
        <v>24</v>
      </c>
      <c r="G80" s="8" t="s">
        <v>512</v>
      </c>
      <c r="H80" s="7" t="s">
        <v>241</v>
      </c>
      <c r="I80" s="11" t="s">
        <v>130</v>
      </c>
      <c r="J80" s="7" t="s">
        <v>519</v>
      </c>
      <c r="K80" s="7" t="s">
        <v>520</v>
      </c>
      <c r="L80" s="7" t="s">
        <v>510</v>
      </c>
      <c r="M80" s="12" t="s">
        <v>31</v>
      </c>
      <c r="N80" s="7" t="s">
        <v>32</v>
      </c>
      <c r="O80" s="7" t="s">
        <v>197</v>
      </c>
      <c r="P80" s="7" t="s">
        <v>34</v>
      </c>
      <c r="Q80" s="7" t="s">
        <v>1839</v>
      </c>
      <c r="R80" s="7" t="s">
        <v>35</v>
      </c>
      <c r="S80" s="8" t="s">
        <v>521</v>
      </c>
      <c r="T80" s="7" t="s">
        <v>37</v>
      </c>
    </row>
    <row r="81" customHeight="1" spans="1:20">
      <c r="A81" s="7">
        <v>513</v>
      </c>
      <c r="B81" s="7" t="s">
        <v>506</v>
      </c>
      <c r="C81" s="7" t="s">
        <v>138</v>
      </c>
      <c r="D81" s="8" t="s">
        <v>152</v>
      </c>
      <c r="E81" s="7" t="s">
        <v>23</v>
      </c>
      <c r="F81" s="7" t="s">
        <v>24</v>
      </c>
      <c r="G81" s="8" t="s">
        <v>522</v>
      </c>
      <c r="H81" s="7" t="s">
        <v>241</v>
      </c>
      <c r="I81" s="11" t="s">
        <v>130</v>
      </c>
      <c r="J81" s="7" t="s">
        <v>523</v>
      </c>
      <c r="K81" s="7" t="s">
        <v>524</v>
      </c>
      <c r="L81" s="7" t="s">
        <v>510</v>
      </c>
      <c r="M81" s="12" t="s">
        <v>31</v>
      </c>
      <c r="N81" s="7" t="s">
        <v>32</v>
      </c>
      <c r="O81" s="7" t="s">
        <v>197</v>
      </c>
      <c r="P81" s="7" t="s">
        <v>34</v>
      </c>
      <c r="Q81" s="7" t="s">
        <v>1839</v>
      </c>
      <c r="R81" s="7" t="s">
        <v>35</v>
      </c>
      <c r="S81" s="8" t="s">
        <v>525</v>
      </c>
      <c r="T81" s="7" t="s">
        <v>37</v>
      </c>
    </row>
    <row r="82" customHeight="1" spans="1:20">
      <c r="A82" s="7">
        <v>513</v>
      </c>
      <c r="B82" s="7" t="s">
        <v>506</v>
      </c>
      <c r="C82" s="7" t="s">
        <v>138</v>
      </c>
      <c r="D82" s="8" t="s">
        <v>147</v>
      </c>
      <c r="E82" s="7" t="s">
        <v>23</v>
      </c>
      <c r="F82" s="7" t="s">
        <v>24</v>
      </c>
      <c r="G82" s="8" t="s">
        <v>522</v>
      </c>
      <c r="H82" s="7" t="s">
        <v>241</v>
      </c>
      <c r="I82" s="11" t="s">
        <v>130</v>
      </c>
      <c r="J82" s="7" t="s">
        <v>526</v>
      </c>
      <c r="K82" s="7" t="s">
        <v>527</v>
      </c>
      <c r="L82" s="7" t="s">
        <v>510</v>
      </c>
      <c r="M82" s="12" t="s">
        <v>31</v>
      </c>
      <c r="N82" s="7" t="s">
        <v>32</v>
      </c>
      <c r="O82" s="7" t="s">
        <v>197</v>
      </c>
      <c r="P82" s="7" t="s">
        <v>34</v>
      </c>
      <c r="Q82" s="7" t="s">
        <v>1839</v>
      </c>
      <c r="R82" s="7" t="s">
        <v>35</v>
      </c>
      <c r="S82" s="8" t="s">
        <v>528</v>
      </c>
      <c r="T82" s="7" t="s">
        <v>37</v>
      </c>
    </row>
    <row r="83" customHeight="1" spans="1:20">
      <c r="A83" s="7">
        <v>513</v>
      </c>
      <c r="B83" s="7" t="s">
        <v>506</v>
      </c>
      <c r="C83" s="7" t="s">
        <v>138</v>
      </c>
      <c r="D83" s="8" t="s">
        <v>168</v>
      </c>
      <c r="E83" s="7" t="s">
        <v>23</v>
      </c>
      <c r="F83" s="7" t="s">
        <v>24</v>
      </c>
      <c r="G83" s="8" t="s">
        <v>529</v>
      </c>
      <c r="H83" s="7" t="s">
        <v>241</v>
      </c>
      <c r="I83" s="11" t="s">
        <v>130</v>
      </c>
      <c r="J83" s="7" t="s">
        <v>530</v>
      </c>
      <c r="K83" s="7" t="s">
        <v>531</v>
      </c>
      <c r="L83" s="7" t="s">
        <v>510</v>
      </c>
      <c r="M83" s="12" t="s">
        <v>31</v>
      </c>
      <c r="N83" s="7" t="s">
        <v>32</v>
      </c>
      <c r="O83" s="7" t="s">
        <v>197</v>
      </c>
      <c r="P83" s="7" t="s">
        <v>34</v>
      </c>
      <c r="Q83" s="7" t="s">
        <v>1839</v>
      </c>
      <c r="R83" s="7" t="s">
        <v>35</v>
      </c>
      <c r="S83" s="8" t="s">
        <v>532</v>
      </c>
      <c r="T83" s="7" t="s">
        <v>37</v>
      </c>
    </row>
    <row r="84" customHeight="1" spans="1:20">
      <c r="A84" s="7">
        <v>513</v>
      </c>
      <c r="B84" s="7" t="s">
        <v>506</v>
      </c>
      <c r="C84" s="7" t="s">
        <v>21</v>
      </c>
      <c r="D84" s="8" t="s">
        <v>22</v>
      </c>
      <c r="E84" s="7" t="s">
        <v>23</v>
      </c>
      <c r="F84" s="7" t="s">
        <v>24</v>
      </c>
      <c r="G84" s="8" t="s">
        <v>533</v>
      </c>
      <c r="H84" s="7" t="s">
        <v>534</v>
      </c>
      <c r="I84" s="11" t="s">
        <v>241</v>
      </c>
      <c r="J84" s="7" t="s">
        <v>535</v>
      </c>
      <c r="K84" s="7" t="s">
        <v>536</v>
      </c>
      <c r="L84" s="7" t="s">
        <v>510</v>
      </c>
      <c r="M84" s="12" t="s">
        <v>31</v>
      </c>
      <c r="N84" s="7" t="s">
        <v>32</v>
      </c>
      <c r="O84" s="7" t="s">
        <v>197</v>
      </c>
      <c r="P84" s="7" t="s">
        <v>34</v>
      </c>
      <c r="Q84" s="7" t="s">
        <v>1839</v>
      </c>
      <c r="R84" s="7" t="s">
        <v>35</v>
      </c>
      <c r="S84" s="8" t="s">
        <v>537</v>
      </c>
      <c r="T84" s="7" t="s">
        <v>37</v>
      </c>
    </row>
    <row r="85" customHeight="1" spans="1:20">
      <c r="A85" s="7">
        <v>513</v>
      </c>
      <c r="B85" s="7" t="s">
        <v>506</v>
      </c>
      <c r="C85" s="7" t="s">
        <v>138</v>
      </c>
      <c r="D85" s="8" t="s">
        <v>183</v>
      </c>
      <c r="E85" s="7" t="s">
        <v>23</v>
      </c>
      <c r="F85" s="7" t="s">
        <v>24</v>
      </c>
      <c r="G85" s="8" t="s">
        <v>538</v>
      </c>
      <c r="H85" s="7" t="s">
        <v>539</v>
      </c>
      <c r="I85" s="11" t="s">
        <v>540</v>
      </c>
      <c r="J85" s="7" t="s">
        <v>541</v>
      </c>
      <c r="K85" s="7" t="s">
        <v>542</v>
      </c>
      <c r="L85" s="7" t="s">
        <v>510</v>
      </c>
      <c r="M85" s="12" t="s">
        <v>31</v>
      </c>
      <c r="N85" s="7" t="s">
        <v>32</v>
      </c>
      <c r="O85" s="7" t="s">
        <v>197</v>
      </c>
      <c r="P85" s="7" t="s">
        <v>34</v>
      </c>
      <c r="Q85" s="7" t="s">
        <v>1839</v>
      </c>
      <c r="R85" s="7" t="s">
        <v>35</v>
      </c>
      <c r="S85" s="8" t="s">
        <v>543</v>
      </c>
      <c r="T85" s="7" t="s">
        <v>37</v>
      </c>
    </row>
    <row r="86" customHeight="1" spans="1:20">
      <c r="A86" s="7">
        <v>513</v>
      </c>
      <c r="B86" s="7" t="s">
        <v>506</v>
      </c>
      <c r="C86" s="7" t="s">
        <v>138</v>
      </c>
      <c r="D86" s="8" t="s">
        <v>179</v>
      </c>
      <c r="E86" s="7" t="s">
        <v>23</v>
      </c>
      <c r="F86" s="7" t="s">
        <v>24</v>
      </c>
      <c r="G86" s="8" t="s">
        <v>538</v>
      </c>
      <c r="H86" s="7" t="s">
        <v>539</v>
      </c>
      <c r="I86" s="11" t="s">
        <v>540</v>
      </c>
      <c r="J86" s="7" t="s">
        <v>544</v>
      </c>
      <c r="K86" s="7" t="s">
        <v>545</v>
      </c>
      <c r="L86" s="7" t="s">
        <v>510</v>
      </c>
      <c r="M86" s="12" t="s">
        <v>31</v>
      </c>
      <c r="N86" s="7" t="s">
        <v>32</v>
      </c>
      <c r="O86" s="7" t="s">
        <v>197</v>
      </c>
      <c r="P86" s="7" t="s">
        <v>34</v>
      </c>
      <c r="Q86" s="7" t="s">
        <v>1839</v>
      </c>
      <c r="R86" s="7" t="s">
        <v>35</v>
      </c>
      <c r="S86" s="8" t="s">
        <v>546</v>
      </c>
      <c r="T86" s="7" t="s">
        <v>37</v>
      </c>
    </row>
    <row r="87" customHeight="1" spans="1:20">
      <c r="A87" s="7">
        <v>513</v>
      </c>
      <c r="B87" s="7" t="s">
        <v>506</v>
      </c>
      <c r="C87" s="7" t="s">
        <v>138</v>
      </c>
      <c r="D87" s="8" t="s">
        <v>174</v>
      </c>
      <c r="E87" s="7" t="s">
        <v>23</v>
      </c>
      <c r="F87" s="7" t="s">
        <v>24</v>
      </c>
      <c r="G87" s="8" t="s">
        <v>538</v>
      </c>
      <c r="H87" s="7" t="s">
        <v>539</v>
      </c>
      <c r="I87" s="11" t="s">
        <v>540</v>
      </c>
      <c r="J87" s="7" t="s">
        <v>547</v>
      </c>
      <c r="K87" s="7" t="s">
        <v>548</v>
      </c>
      <c r="L87" s="7" t="s">
        <v>510</v>
      </c>
      <c r="M87" s="12" t="s">
        <v>31</v>
      </c>
      <c r="N87" s="7" t="s">
        <v>32</v>
      </c>
      <c r="O87" s="7" t="s">
        <v>197</v>
      </c>
      <c r="P87" s="7" t="s">
        <v>34</v>
      </c>
      <c r="Q87" s="7" t="s">
        <v>1839</v>
      </c>
      <c r="R87" s="7" t="s">
        <v>35</v>
      </c>
      <c r="S87" s="8" t="s">
        <v>549</v>
      </c>
      <c r="T87" s="7" t="s">
        <v>37</v>
      </c>
    </row>
    <row r="88" customHeight="1" spans="1:20">
      <c r="A88" s="7">
        <v>513</v>
      </c>
      <c r="B88" s="7" t="s">
        <v>506</v>
      </c>
      <c r="C88" s="7" t="s">
        <v>138</v>
      </c>
      <c r="D88" s="8" t="s">
        <v>139</v>
      </c>
      <c r="E88" s="7" t="s">
        <v>23</v>
      </c>
      <c r="F88" s="7" t="s">
        <v>24</v>
      </c>
      <c r="G88" s="8" t="s">
        <v>550</v>
      </c>
      <c r="H88" s="7" t="s">
        <v>551</v>
      </c>
      <c r="I88" s="11" t="s">
        <v>534</v>
      </c>
      <c r="J88" s="7" t="s">
        <v>552</v>
      </c>
      <c r="K88" s="7" t="s">
        <v>553</v>
      </c>
      <c r="L88" s="7" t="s">
        <v>510</v>
      </c>
      <c r="M88" s="12" t="s">
        <v>31</v>
      </c>
      <c r="N88" s="7" t="s">
        <v>32</v>
      </c>
      <c r="O88" s="7" t="s">
        <v>197</v>
      </c>
      <c r="P88" s="7" t="s">
        <v>1839</v>
      </c>
      <c r="Q88" s="7" t="s">
        <v>34</v>
      </c>
      <c r="R88" s="7" t="s">
        <v>35</v>
      </c>
      <c r="S88" s="8" t="s">
        <v>554</v>
      </c>
      <c r="T88" s="7" t="s">
        <v>37</v>
      </c>
    </row>
    <row r="89" customHeight="1" spans="1:20">
      <c r="A89" s="7">
        <v>513</v>
      </c>
      <c r="B89" s="7" t="s">
        <v>506</v>
      </c>
      <c r="C89" s="7" t="s">
        <v>138</v>
      </c>
      <c r="D89" s="8" t="s">
        <v>156</v>
      </c>
      <c r="E89" s="7" t="s">
        <v>23</v>
      </c>
      <c r="F89" s="7" t="s">
        <v>24</v>
      </c>
      <c r="G89" s="8" t="s">
        <v>550</v>
      </c>
      <c r="H89" s="7" t="s">
        <v>551</v>
      </c>
      <c r="I89" s="11" t="s">
        <v>534</v>
      </c>
      <c r="J89" s="7" t="s">
        <v>555</v>
      </c>
      <c r="K89" s="7" t="s">
        <v>556</v>
      </c>
      <c r="L89" s="7" t="s">
        <v>510</v>
      </c>
      <c r="M89" s="12" t="s">
        <v>31</v>
      </c>
      <c r="N89" s="7" t="s">
        <v>32</v>
      </c>
      <c r="O89" s="7" t="s">
        <v>197</v>
      </c>
      <c r="P89" s="7" t="s">
        <v>1839</v>
      </c>
      <c r="Q89" s="7" t="s">
        <v>1839</v>
      </c>
      <c r="R89" s="7" t="s">
        <v>35</v>
      </c>
      <c r="S89" s="8" t="s">
        <v>557</v>
      </c>
      <c r="T89" s="7" t="s">
        <v>37</v>
      </c>
    </row>
    <row r="90" customHeight="1" spans="1:20">
      <c r="A90" s="7">
        <v>513</v>
      </c>
      <c r="B90" s="7" t="s">
        <v>506</v>
      </c>
      <c r="C90" s="7" t="s">
        <v>138</v>
      </c>
      <c r="D90" s="8" t="s">
        <v>161</v>
      </c>
      <c r="E90" s="7" t="s">
        <v>23</v>
      </c>
      <c r="F90" s="7" t="s">
        <v>24</v>
      </c>
      <c r="G90" s="8" t="s">
        <v>550</v>
      </c>
      <c r="H90" s="7" t="s">
        <v>551</v>
      </c>
      <c r="I90" s="11" t="s">
        <v>534</v>
      </c>
      <c r="J90" s="7" t="s">
        <v>558</v>
      </c>
      <c r="K90" s="7" t="s">
        <v>559</v>
      </c>
      <c r="L90" s="7" t="s">
        <v>510</v>
      </c>
      <c r="M90" s="12" t="s">
        <v>31</v>
      </c>
      <c r="N90" s="7" t="s">
        <v>32</v>
      </c>
      <c r="O90" s="7" t="s">
        <v>197</v>
      </c>
      <c r="P90" s="7" t="s">
        <v>1839</v>
      </c>
      <c r="Q90" s="7" t="s">
        <v>1839</v>
      </c>
      <c r="R90" s="7" t="s">
        <v>35</v>
      </c>
      <c r="S90" s="8" t="s">
        <v>560</v>
      </c>
      <c r="T90" s="7" t="s">
        <v>37</v>
      </c>
    </row>
    <row r="91" customHeight="1" spans="1:20">
      <c r="A91" s="7">
        <v>513</v>
      </c>
      <c r="B91" s="7" t="s">
        <v>506</v>
      </c>
      <c r="C91" s="7" t="s">
        <v>138</v>
      </c>
      <c r="D91" s="8" t="s">
        <v>257</v>
      </c>
      <c r="E91" s="7" t="s">
        <v>23</v>
      </c>
      <c r="F91" s="7" t="s">
        <v>24</v>
      </c>
      <c r="G91" s="8" t="s">
        <v>561</v>
      </c>
      <c r="H91" s="7" t="s">
        <v>551</v>
      </c>
      <c r="I91" s="11" t="s">
        <v>534</v>
      </c>
      <c r="J91" s="7" t="s">
        <v>562</v>
      </c>
      <c r="K91" s="7" t="s">
        <v>563</v>
      </c>
      <c r="L91" s="7" t="s">
        <v>510</v>
      </c>
      <c r="M91" s="12" t="s">
        <v>31</v>
      </c>
      <c r="N91" s="7" t="s">
        <v>32</v>
      </c>
      <c r="O91" s="7" t="s">
        <v>197</v>
      </c>
      <c r="P91" s="7" t="s">
        <v>34</v>
      </c>
      <c r="Q91" s="7" t="s">
        <v>1839</v>
      </c>
      <c r="R91" s="7" t="s">
        <v>35</v>
      </c>
      <c r="S91" s="8" t="s">
        <v>564</v>
      </c>
      <c r="T91" s="7" t="s">
        <v>37</v>
      </c>
    </row>
    <row r="92" customHeight="1" spans="1:20">
      <c r="A92" s="7">
        <v>359</v>
      </c>
      <c r="B92" s="7" t="s">
        <v>565</v>
      </c>
      <c r="C92" s="7" t="s">
        <v>21</v>
      </c>
      <c r="D92" s="8" t="s">
        <v>22</v>
      </c>
      <c r="E92" s="7" t="s">
        <v>23</v>
      </c>
      <c r="F92" s="7" t="s">
        <v>24</v>
      </c>
      <c r="G92" s="8" t="s">
        <v>566</v>
      </c>
      <c r="H92" s="7" t="s">
        <v>567</v>
      </c>
      <c r="I92" s="11" t="s">
        <v>568</v>
      </c>
      <c r="J92" s="7" t="s">
        <v>569</v>
      </c>
      <c r="K92" s="7" t="s">
        <v>570</v>
      </c>
      <c r="L92" s="7" t="s">
        <v>571</v>
      </c>
      <c r="M92" s="12" t="s">
        <v>31</v>
      </c>
      <c r="N92" s="7" t="s">
        <v>32</v>
      </c>
      <c r="O92" s="7" t="s">
        <v>197</v>
      </c>
      <c r="P92" s="7" t="s">
        <v>34</v>
      </c>
      <c r="Q92" s="7" t="s">
        <v>1839</v>
      </c>
      <c r="R92" s="7" t="s">
        <v>35</v>
      </c>
      <c r="S92" s="8" t="s">
        <v>572</v>
      </c>
      <c r="T92" s="7" t="s">
        <v>37</v>
      </c>
    </row>
    <row r="93" customHeight="1" spans="1:20">
      <c r="A93" s="7">
        <v>359</v>
      </c>
      <c r="B93" s="7" t="s">
        <v>565</v>
      </c>
      <c r="C93" s="7" t="s">
        <v>138</v>
      </c>
      <c r="D93" s="8" t="s">
        <v>168</v>
      </c>
      <c r="E93" s="7" t="s">
        <v>23</v>
      </c>
      <c r="F93" s="7" t="s">
        <v>24</v>
      </c>
      <c r="G93" s="8" t="s">
        <v>573</v>
      </c>
      <c r="H93" s="7" t="s">
        <v>241</v>
      </c>
      <c r="I93" s="11" t="s">
        <v>130</v>
      </c>
      <c r="J93" s="7" t="s">
        <v>574</v>
      </c>
      <c r="K93" s="7" t="s">
        <v>575</v>
      </c>
      <c r="L93" s="7" t="s">
        <v>571</v>
      </c>
      <c r="M93" s="12" t="s">
        <v>31</v>
      </c>
      <c r="N93" s="7" t="s">
        <v>32</v>
      </c>
      <c r="O93" s="7" t="s">
        <v>197</v>
      </c>
      <c r="P93" s="7" t="s">
        <v>34</v>
      </c>
      <c r="Q93" s="7" t="s">
        <v>1839</v>
      </c>
      <c r="R93" s="7" t="s">
        <v>35</v>
      </c>
      <c r="S93" s="8" t="s">
        <v>576</v>
      </c>
      <c r="T93" s="7" t="s">
        <v>37</v>
      </c>
    </row>
    <row r="94" customHeight="1" spans="1:20">
      <c r="A94" s="7">
        <v>359</v>
      </c>
      <c r="B94" s="7" t="s">
        <v>565</v>
      </c>
      <c r="C94" s="7" t="s">
        <v>138</v>
      </c>
      <c r="D94" s="8" t="s">
        <v>147</v>
      </c>
      <c r="E94" s="7" t="s">
        <v>23</v>
      </c>
      <c r="F94" s="7" t="s">
        <v>24</v>
      </c>
      <c r="G94" s="8" t="s">
        <v>577</v>
      </c>
      <c r="H94" s="7" t="s">
        <v>241</v>
      </c>
      <c r="I94" s="11" t="s">
        <v>130</v>
      </c>
      <c r="J94" s="7" t="s">
        <v>578</v>
      </c>
      <c r="K94" s="7" t="s">
        <v>579</v>
      </c>
      <c r="L94" s="7" t="s">
        <v>571</v>
      </c>
      <c r="M94" s="12" t="s">
        <v>31</v>
      </c>
      <c r="N94" s="7" t="s">
        <v>32</v>
      </c>
      <c r="O94" s="7" t="s">
        <v>197</v>
      </c>
      <c r="P94" s="7" t="s">
        <v>34</v>
      </c>
      <c r="Q94" s="7" t="s">
        <v>1839</v>
      </c>
      <c r="R94" s="7" t="s">
        <v>35</v>
      </c>
      <c r="S94" s="8" t="s">
        <v>580</v>
      </c>
      <c r="T94" s="7" t="s">
        <v>37</v>
      </c>
    </row>
    <row r="95" customHeight="1" spans="1:20">
      <c r="A95" s="7">
        <v>359</v>
      </c>
      <c r="B95" s="7" t="s">
        <v>565</v>
      </c>
      <c r="C95" s="7" t="s">
        <v>138</v>
      </c>
      <c r="D95" s="8" t="s">
        <v>152</v>
      </c>
      <c r="E95" s="7" t="s">
        <v>23</v>
      </c>
      <c r="F95" s="7" t="s">
        <v>24</v>
      </c>
      <c r="G95" s="8" t="s">
        <v>577</v>
      </c>
      <c r="H95" s="7" t="s">
        <v>241</v>
      </c>
      <c r="I95" s="11" t="s">
        <v>130</v>
      </c>
      <c r="J95" s="7" t="s">
        <v>581</v>
      </c>
      <c r="K95" s="7" t="s">
        <v>582</v>
      </c>
      <c r="L95" s="7" t="s">
        <v>571</v>
      </c>
      <c r="M95" s="12" t="s">
        <v>31</v>
      </c>
      <c r="N95" s="7" t="s">
        <v>32</v>
      </c>
      <c r="O95" s="7" t="s">
        <v>197</v>
      </c>
      <c r="P95" s="7" t="s">
        <v>34</v>
      </c>
      <c r="Q95" s="7" t="s">
        <v>34</v>
      </c>
      <c r="R95" s="7" t="s">
        <v>35</v>
      </c>
      <c r="S95" s="8" t="s">
        <v>583</v>
      </c>
      <c r="T95" s="7" t="s">
        <v>37</v>
      </c>
    </row>
    <row r="96" customHeight="1" spans="1:20">
      <c r="A96" s="7">
        <v>359</v>
      </c>
      <c r="B96" s="7" t="s">
        <v>565</v>
      </c>
      <c r="C96" s="7" t="s">
        <v>138</v>
      </c>
      <c r="D96" s="8" t="s">
        <v>156</v>
      </c>
      <c r="E96" s="7" t="s">
        <v>23</v>
      </c>
      <c r="F96" s="7" t="s">
        <v>24</v>
      </c>
      <c r="G96" s="8" t="s">
        <v>584</v>
      </c>
      <c r="H96" s="7" t="s">
        <v>241</v>
      </c>
      <c r="I96" s="11" t="s">
        <v>130</v>
      </c>
      <c r="J96" s="7" t="s">
        <v>585</v>
      </c>
      <c r="K96" s="7" t="s">
        <v>586</v>
      </c>
      <c r="L96" s="7" t="s">
        <v>571</v>
      </c>
      <c r="M96" s="12" t="s">
        <v>31</v>
      </c>
      <c r="N96" s="7" t="s">
        <v>32</v>
      </c>
      <c r="O96" s="7" t="s">
        <v>197</v>
      </c>
      <c r="P96" s="7" t="s">
        <v>34</v>
      </c>
      <c r="Q96" s="7" t="s">
        <v>1839</v>
      </c>
      <c r="R96" s="7" t="s">
        <v>35</v>
      </c>
      <c r="S96" s="8" t="s">
        <v>587</v>
      </c>
      <c r="T96" s="7" t="s">
        <v>37</v>
      </c>
    </row>
    <row r="97" customHeight="1" spans="1:20">
      <c r="A97" s="7">
        <v>359</v>
      </c>
      <c r="B97" s="7" t="s">
        <v>565</v>
      </c>
      <c r="C97" s="7" t="s">
        <v>138</v>
      </c>
      <c r="D97" s="8" t="s">
        <v>161</v>
      </c>
      <c r="E97" s="7" t="s">
        <v>23</v>
      </c>
      <c r="F97" s="7" t="s">
        <v>24</v>
      </c>
      <c r="G97" s="8" t="s">
        <v>584</v>
      </c>
      <c r="H97" s="7" t="s">
        <v>241</v>
      </c>
      <c r="I97" s="11" t="s">
        <v>130</v>
      </c>
      <c r="J97" s="7" t="s">
        <v>588</v>
      </c>
      <c r="K97" s="7" t="s">
        <v>589</v>
      </c>
      <c r="L97" s="7" t="s">
        <v>571</v>
      </c>
      <c r="M97" s="12" t="s">
        <v>31</v>
      </c>
      <c r="N97" s="7" t="s">
        <v>32</v>
      </c>
      <c r="O97" s="7" t="s">
        <v>197</v>
      </c>
      <c r="P97" s="7" t="s">
        <v>34</v>
      </c>
      <c r="Q97" s="7" t="s">
        <v>1839</v>
      </c>
      <c r="R97" s="7" t="s">
        <v>35</v>
      </c>
      <c r="S97" s="8" t="s">
        <v>590</v>
      </c>
      <c r="T97" s="7" t="s">
        <v>37</v>
      </c>
    </row>
    <row r="98" customHeight="1" spans="1:20">
      <c r="A98" s="7">
        <v>359</v>
      </c>
      <c r="B98" s="7" t="s">
        <v>565</v>
      </c>
      <c r="C98" s="7" t="s">
        <v>138</v>
      </c>
      <c r="D98" s="8" t="s">
        <v>139</v>
      </c>
      <c r="E98" s="7" t="s">
        <v>23</v>
      </c>
      <c r="F98" s="7" t="s">
        <v>24</v>
      </c>
      <c r="G98" s="8" t="s">
        <v>584</v>
      </c>
      <c r="H98" s="7" t="s">
        <v>241</v>
      </c>
      <c r="I98" s="11" t="s">
        <v>130</v>
      </c>
      <c r="J98" s="7" t="s">
        <v>591</v>
      </c>
      <c r="K98" s="7" t="s">
        <v>592</v>
      </c>
      <c r="L98" s="7" t="s">
        <v>571</v>
      </c>
      <c r="M98" s="12" t="s">
        <v>31</v>
      </c>
      <c r="N98" s="7" t="s">
        <v>32</v>
      </c>
      <c r="O98" s="7" t="s">
        <v>197</v>
      </c>
      <c r="P98" s="7" t="s">
        <v>34</v>
      </c>
      <c r="Q98" s="7" t="s">
        <v>1839</v>
      </c>
      <c r="R98" s="7" t="s">
        <v>35</v>
      </c>
      <c r="S98" s="8" t="s">
        <v>593</v>
      </c>
      <c r="T98" s="7" t="s">
        <v>37</v>
      </c>
    </row>
    <row r="99" customHeight="1" spans="1:20">
      <c r="A99" s="7">
        <v>359</v>
      </c>
      <c r="B99" s="7" t="s">
        <v>565</v>
      </c>
      <c r="C99" s="7" t="s">
        <v>21</v>
      </c>
      <c r="D99" s="8" t="s">
        <v>22</v>
      </c>
      <c r="E99" s="7" t="s">
        <v>23</v>
      </c>
      <c r="F99" s="7" t="s">
        <v>24</v>
      </c>
      <c r="G99" s="8" t="s">
        <v>594</v>
      </c>
      <c r="H99" s="7" t="s">
        <v>534</v>
      </c>
      <c r="I99" s="11" t="s">
        <v>241</v>
      </c>
      <c r="J99" s="7" t="s">
        <v>595</v>
      </c>
      <c r="K99" s="7" t="s">
        <v>596</v>
      </c>
      <c r="L99" s="7" t="s">
        <v>571</v>
      </c>
      <c r="M99" s="12" t="s">
        <v>31</v>
      </c>
      <c r="N99" s="7" t="s">
        <v>32</v>
      </c>
      <c r="O99" s="7" t="s">
        <v>197</v>
      </c>
      <c r="P99" s="7" t="s">
        <v>34</v>
      </c>
      <c r="Q99" s="7" t="s">
        <v>1839</v>
      </c>
      <c r="R99" s="7" t="s">
        <v>35</v>
      </c>
      <c r="S99" s="8" t="s">
        <v>597</v>
      </c>
      <c r="T99" s="7" t="s">
        <v>37</v>
      </c>
    </row>
    <row r="100" customHeight="1" spans="1:20">
      <c r="A100" s="7">
        <v>359</v>
      </c>
      <c r="B100" s="7" t="s">
        <v>565</v>
      </c>
      <c r="C100" s="7" t="s">
        <v>138</v>
      </c>
      <c r="D100" s="8" t="s">
        <v>174</v>
      </c>
      <c r="E100" s="7" t="s">
        <v>23</v>
      </c>
      <c r="F100" s="7" t="s">
        <v>24</v>
      </c>
      <c r="G100" s="8" t="s">
        <v>598</v>
      </c>
      <c r="H100" s="7" t="s">
        <v>539</v>
      </c>
      <c r="I100" s="11" t="s">
        <v>540</v>
      </c>
      <c r="J100" s="7" t="s">
        <v>599</v>
      </c>
      <c r="K100" s="7" t="s">
        <v>600</v>
      </c>
      <c r="L100" s="7" t="s">
        <v>571</v>
      </c>
      <c r="M100" s="12" t="s">
        <v>31</v>
      </c>
      <c r="N100" s="7" t="s">
        <v>32</v>
      </c>
      <c r="O100" s="7" t="s">
        <v>197</v>
      </c>
      <c r="P100" s="7" t="s">
        <v>34</v>
      </c>
      <c r="Q100" s="7" t="s">
        <v>1839</v>
      </c>
      <c r="R100" s="7" t="s">
        <v>35</v>
      </c>
      <c r="S100" s="8" t="s">
        <v>601</v>
      </c>
      <c r="T100" s="7" t="s">
        <v>37</v>
      </c>
    </row>
    <row r="101" customHeight="1" spans="1:20">
      <c r="A101" s="7">
        <v>359</v>
      </c>
      <c r="B101" s="7" t="s">
        <v>565</v>
      </c>
      <c r="C101" s="7" t="s">
        <v>138</v>
      </c>
      <c r="D101" s="8" t="s">
        <v>179</v>
      </c>
      <c r="E101" s="7" t="s">
        <v>23</v>
      </c>
      <c r="F101" s="7" t="s">
        <v>24</v>
      </c>
      <c r="G101" s="8" t="s">
        <v>598</v>
      </c>
      <c r="H101" s="7" t="s">
        <v>539</v>
      </c>
      <c r="I101" s="11" t="s">
        <v>540</v>
      </c>
      <c r="J101" s="7" t="s">
        <v>602</v>
      </c>
      <c r="K101" s="7" t="s">
        <v>603</v>
      </c>
      <c r="L101" s="7" t="s">
        <v>571</v>
      </c>
      <c r="M101" s="12" t="s">
        <v>31</v>
      </c>
      <c r="N101" s="7" t="s">
        <v>32</v>
      </c>
      <c r="O101" s="7" t="s">
        <v>197</v>
      </c>
      <c r="P101" s="7" t="s">
        <v>34</v>
      </c>
      <c r="Q101" s="7" t="s">
        <v>1839</v>
      </c>
      <c r="R101" s="7" t="s">
        <v>35</v>
      </c>
      <c r="S101" s="8" t="s">
        <v>604</v>
      </c>
      <c r="T101" s="7" t="s">
        <v>37</v>
      </c>
    </row>
    <row r="102" customHeight="1" spans="1:20">
      <c r="A102" s="7">
        <v>359</v>
      </c>
      <c r="B102" s="7" t="s">
        <v>565</v>
      </c>
      <c r="C102" s="7" t="s">
        <v>138</v>
      </c>
      <c r="D102" s="8" t="s">
        <v>183</v>
      </c>
      <c r="E102" s="7" t="s">
        <v>23</v>
      </c>
      <c r="F102" s="7" t="s">
        <v>24</v>
      </c>
      <c r="G102" s="8" t="s">
        <v>598</v>
      </c>
      <c r="H102" s="7" t="s">
        <v>539</v>
      </c>
      <c r="I102" s="11" t="s">
        <v>540</v>
      </c>
      <c r="J102" s="7" t="s">
        <v>605</v>
      </c>
      <c r="K102" s="7" t="s">
        <v>606</v>
      </c>
      <c r="L102" s="7" t="s">
        <v>571</v>
      </c>
      <c r="M102" s="12" t="s">
        <v>31</v>
      </c>
      <c r="N102" s="7" t="s">
        <v>32</v>
      </c>
      <c r="O102" s="7" t="s">
        <v>197</v>
      </c>
      <c r="P102" s="7" t="s">
        <v>34</v>
      </c>
      <c r="Q102" s="7" t="s">
        <v>34</v>
      </c>
      <c r="R102" s="7" t="s">
        <v>35</v>
      </c>
      <c r="S102" s="8" t="s">
        <v>607</v>
      </c>
      <c r="T102" s="7" t="s">
        <v>37</v>
      </c>
    </row>
    <row r="103" customHeight="1" spans="1:20">
      <c r="A103" s="7">
        <v>359</v>
      </c>
      <c r="B103" s="7" t="s">
        <v>565</v>
      </c>
      <c r="C103" s="7" t="s">
        <v>138</v>
      </c>
      <c r="D103" s="8" t="s">
        <v>257</v>
      </c>
      <c r="E103" s="7" t="s">
        <v>23</v>
      </c>
      <c r="F103" s="7" t="s">
        <v>24</v>
      </c>
      <c r="G103" s="8" t="s">
        <v>608</v>
      </c>
      <c r="H103" s="7" t="s">
        <v>551</v>
      </c>
      <c r="I103" s="11" t="s">
        <v>534</v>
      </c>
      <c r="J103" s="7" t="s">
        <v>609</v>
      </c>
      <c r="K103" s="7" t="s">
        <v>610</v>
      </c>
      <c r="L103" s="7" t="s">
        <v>571</v>
      </c>
      <c r="M103" s="12" t="s">
        <v>31</v>
      </c>
      <c r="N103" s="7" t="s">
        <v>32</v>
      </c>
      <c r="O103" s="7" t="s">
        <v>197</v>
      </c>
      <c r="P103" s="7" t="s">
        <v>34</v>
      </c>
      <c r="Q103" s="7" t="s">
        <v>1839</v>
      </c>
      <c r="R103" s="7" t="s">
        <v>35</v>
      </c>
      <c r="S103" s="8" t="s">
        <v>611</v>
      </c>
      <c r="T103" s="7" t="s">
        <v>37</v>
      </c>
    </row>
    <row r="104" customHeight="1" spans="1:20">
      <c r="A104" s="7">
        <v>359</v>
      </c>
      <c r="B104" s="7" t="s">
        <v>565</v>
      </c>
      <c r="C104" s="7" t="s">
        <v>138</v>
      </c>
      <c r="D104" s="8" t="s">
        <v>156</v>
      </c>
      <c r="E104" s="7" t="s">
        <v>23</v>
      </c>
      <c r="F104" s="7" t="s">
        <v>24</v>
      </c>
      <c r="G104" s="8" t="s">
        <v>612</v>
      </c>
      <c r="H104" s="7" t="s">
        <v>551</v>
      </c>
      <c r="I104" s="11" t="s">
        <v>534</v>
      </c>
      <c r="J104" s="7" t="s">
        <v>613</v>
      </c>
      <c r="K104" s="7" t="s">
        <v>614</v>
      </c>
      <c r="L104" s="7" t="s">
        <v>571</v>
      </c>
      <c r="M104" s="12" t="s">
        <v>31</v>
      </c>
      <c r="N104" s="7" t="s">
        <v>32</v>
      </c>
      <c r="O104" s="7" t="s">
        <v>197</v>
      </c>
      <c r="P104" s="7" t="s">
        <v>34</v>
      </c>
      <c r="Q104" s="7" t="s">
        <v>1839</v>
      </c>
      <c r="R104" s="7" t="s">
        <v>35</v>
      </c>
      <c r="S104" s="8" t="s">
        <v>615</v>
      </c>
      <c r="T104" s="7" t="s">
        <v>37</v>
      </c>
    </row>
    <row r="105" customHeight="1" spans="1:20">
      <c r="A105" s="7">
        <v>359</v>
      </c>
      <c r="B105" s="7" t="s">
        <v>565</v>
      </c>
      <c r="C105" s="7" t="s">
        <v>138</v>
      </c>
      <c r="D105" s="8" t="s">
        <v>161</v>
      </c>
      <c r="E105" s="7" t="s">
        <v>23</v>
      </c>
      <c r="F105" s="7" t="s">
        <v>24</v>
      </c>
      <c r="G105" s="8" t="s">
        <v>612</v>
      </c>
      <c r="H105" s="7" t="s">
        <v>551</v>
      </c>
      <c r="I105" s="11" t="s">
        <v>534</v>
      </c>
      <c r="J105" s="7" t="s">
        <v>616</v>
      </c>
      <c r="K105" s="7" t="s">
        <v>617</v>
      </c>
      <c r="L105" s="7" t="s">
        <v>571</v>
      </c>
      <c r="M105" s="12" t="s">
        <v>31</v>
      </c>
      <c r="N105" s="7" t="s">
        <v>32</v>
      </c>
      <c r="O105" s="7" t="s">
        <v>197</v>
      </c>
      <c r="P105" s="7" t="s">
        <v>34</v>
      </c>
      <c r="Q105" s="7" t="s">
        <v>1839</v>
      </c>
      <c r="R105" s="7" t="s">
        <v>35</v>
      </c>
      <c r="S105" s="8" t="s">
        <v>618</v>
      </c>
      <c r="T105" s="7" t="s">
        <v>37</v>
      </c>
    </row>
    <row r="106" customHeight="1" spans="1:20">
      <c r="A106" s="7">
        <v>111219</v>
      </c>
      <c r="B106" s="7" t="s">
        <v>191</v>
      </c>
      <c r="C106" s="7" t="s">
        <v>138</v>
      </c>
      <c r="D106" s="8" t="s">
        <v>168</v>
      </c>
      <c r="E106" s="7" t="s">
        <v>23</v>
      </c>
      <c r="F106" s="7" t="s">
        <v>24</v>
      </c>
      <c r="G106" s="8" t="s">
        <v>619</v>
      </c>
      <c r="H106" s="7" t="s">
        <v>241</v>
      </c>
      <c r="I106" s="11" t="s">
        <v>130</v>
      </c>
      <c r="J106" s="7" t="s">
        <v>620</v>
      </c>
      <c r="K106" s="7" t="s">
        <v>621</v>
      </c>
      <c r="L106" s="7" t="s">
        <v>196</v>
      </c>
      <c r="M106" s="12" t="s">
        <v>31</v>
      </c>
      <c r="N106" s="7" t="s">
        <v>32</v>
      </c>
      <c r="O106" s="7" t="s">
        <v>197</v>
      </c>
      <c r="P106" s="7" t="s">
        <v>34</v>
      </c>
      <c r="Q106" s="7" t="s">
        <v>34</v>
      </c>
      <c r="R106" s="7" t="s">
        <v>35</v>
      </c>
      <c r="S106" s="8" t="s">
        <v>622</v>
      </c>
      <c r="T106" s="7" t="s">
        <v>37</v>
      </c>
    </row>
    <row r="107" customHeight="1" spans="1:20">
      <c r="A107" s="7">
        <v>111219</v>
      </c>
      <c r="B107" s="7" t="s">
        <v>191</v>
      </c>
      <c r="C107" s="7" t="s">
        <v>138</v>
      </c>
      <c r="D107" s="8" t="s">
        <v>147</v>
      </c>
      <c r="E107" s="7" t="s">
        <v>23</v>
      </c>
      <c r="F107" s="7" t="s">
        <v>24</v>
      </c>
      <c r="G107" s="8" t="s">
        <v>623</v>
      </c>
      <c r="H107" s="7" t="s">
        <v>241</v>
      </c>
      <c r="I107" s="11" t="s">
        <v>130</v>
      </c>
      <c r="J107" s="7" t="s">
        <v>624</v>
      </c>
      <c r="K107" s="7" t="s">
        <v>625</v>
      </c>
      <c r="L107" s="7" t="s">
        <v>196</v>
      </c>
      <c r="M107" s="12" t="s">
        <v>31</v>
      </c>
      <c r="N107" s="7" t="s">
        <v>32</v>
      </c>
      <c r="O107" s="7" t="s">
        <v>197</v>
      </c>
      <c r="P107" s="7" t="s">
        <v>34</v>
      </c>
      <c r="Q107" s="7" t="s">
        <v>34</v>
      </c>
      <c r="R107" s="7" t="s">
        <v>35</v>
      </c>
      <c r="S107" s="8" t="s">
        <v>626</v>
      </c>
      <c r="T107" s="7" t="s">
        <v>37</v>
      </c>
    </row>
    <row r="108" customHeight="1" spans="1:20">
      <c r="A108" s="7">
        <v>111219</v>
      </c>
      <c r="B108" s="7" t="s">
        <v>191</v>
      </c>
      <c r="C108" s="7" t="s">
        <v>138</v>
      </c>
      <c r="D108" s="8" t="s">
        <v>152</v>
      </c>
      <c r="E108" s="7" t="s">
        <v>23</v>
      </c>
      <c r="F108" s="7" t="s">
        <v>24</v>
      </c>
      <c r="G108" s="8" t="s">
        <v>623</v>
      </c>
      <c r="H108" s="7" t="s">
        <v>241</v>
      </c>
      <c r="I108" s="11" t="s">
        <v>130</v>
      </c>
      <c r="J108" s="7" t="s">
        <v>627</v>
      </c>
      <c r="K108" s="7" t="s">
        <v>628</v>
      </c>
      <c r="L108" s="7" t="s">
        <v>196</v>
      </c>
      <c r="M108" s="12" t="s">
        <v>31</v>
      </c>
      <c r="N108" s="7" t="s">
        <v>32</v>
      </c>
      <c r="O108" s="7" t="s">
        <v>197</v>
      </c>
      <c r="P108" s="7" t="s">
        <v>34</v>
      </c>
      <c r="Q108" s="7" t="s">
        <v>34</v>
      </c>
      <c r="R108" s="7" t="s">
        <v>35</v>
      </c>
      <c r="S108" s="8" t="s">
        <v>629</v>
      </c>
      <c r="T108" s="7" t="s">
        <v>37</v>
      </c>
    </row>
    <row r="109" customHeight="1" spans="1:20">
      <c r="A109" s="7">
        <v>111219</v>
      </c>
      <c r="B109" s="7" t="s">
        <v>191</v>
      </c>
      <c r="C109" s="7" t="s">
        <v>138</v>
      </c>
      <c r="D109" s="8" t="s">
        <v>156</v>
      </c>
      <c r="E109" s="7" t="s">
        <v>23</v>
      </c>
      <c r="F109" s="7" t="s">
        <v>24</v>
      </c>
      <c r="G109" s="8" t="s">
        <v>630</v>
      </c>
      <c r="H109" s="7" t="s">
        <v>241</v>
      </c>
      <c r="I109" s="11" t="s">
        <v>130</v>
      </c>
      <c r="J109" s="7" t="s">
        <v>631</v>
      </c>
      <c r="K109" s="7" t="s">
        <v>632</v>
      </c>
      <c r="L109" s="7" t="s">
        <v>196</v>
      </c>
      <c r="M109" s="12" t="s">
        <v>31</v>
      </c>
      <c r="N109" s="7" t="s">
        <v>32</v>
      </c>
      <c r="O109" s="7" t="s">
        <v>197</v>
      </c>
      <c r="P109" s="7" t="s">
        <v>34</v>
      </c>
      <c r="Q109" s="7" t="s">
        <v>34</v>
      </c>
      <c r="R109" s="7" t="s">
        <v>35</v>
      </c>
      <c r="S109" s="8" t="s">
        <v>633</v>
      </c>
      <c r="T109" s="7" t="s">
        <v>37</v>
      </c>
    </row>
    <row r="110" customHeight="1" spans="1:20">
      <c r="A110" s="7">
        <v>111219</v>
      </c>
      <c r="B110" s="7" t="s">
        <v>191</v>
      </c>
      <c r="C110" s="7" t="s">
        <v>138</v>
      </c>
      <c r="D110" s="8" t="s">
        <v>161</v>
      </c>
      <c r="E110" s="7" t="s">
        <v>23</v>
      </c>
      <c r="F110" s="7" t="s">
        <v>24</v>
      </c>
      <c r="G110" s="8" t="s">
        <v>630</v>
      </c>
      <c r="H110" s="7" t="s">
        <v>241</v>
      </c>
      <c r="I110" s="11" t="s">
        <v>130</v>
      </c>
      <c r="J110" s="7" t="s">
        <v>634</v>
      </c>
      <c r="K110" s="7" t="s">
        <v>635</v>
      </c>
      <c r="L110" s="7" t="s">
        <v>196</v>
      </c>
      <c r="M110" s="12" t="s">
        <v>31</v>
      </c>
      <c r="N110" s="7" t="s">
        <v>32</v>
      </c>
      <c r="O110" s="7" t="s">
        <v>197</v>
      </c>
      <c r="P110" s="7" t="s">
        <v>34</v>
      </c>
      <c r="Q110" s="7" t="s">
        <v>34</v>
      </c>
      <c r="R110" s="7" t="s">
        <v>35</v>
      </c>
      <c r="S110" s="8" t="s">
        <v>636</v>
      </c>
      <c r="T110" s="7" t="s">
        <v>37</v>
      </c>
    </row>
    <row r="111" customHeight="1" spans="1:20">
      <c r="A111" s="7">
        <v>111219</v>
      </c>
      <c r="B111" s="7" t="s">
        <v>191</v>
      </c>
      <c r="C111" s="7" t="s">
        <v>138</v>
      </c>
      <c r="D111" s="8" t="s">
        <v>139</v>
      </c>
      <c r="E111" s="7" t="s">
        <v>23</v>
      </c>
      <c r="F111" s="7" t="s">
        <v>24</v>
      </c>
      <c r="G111" s="8" t="s">
        <v>630</v>
      </c>
      <c r="H111" s="7" t="s">
        <v>241</v>
      </c>
      <c r="I111" s="11" t="s">
        <v>130</v>
      </c>
      <c r="J111" s="7" t="s">
        <v>637</v>
      </c>
      <c r="K111" s="7" t="s">
        <v>638</v>
      </c>
      <c r="L111" s="7" t="s">
        <v>196</v>
      </c>
      <c r="M111" s="12" t="s">
        <v>31</v>
      </c>
      <c r="N111" s="7" t="s">
        <v>32</v>
      </c>
      <c r="O111" s="7" t="s">
        <v>197</v>
      </c>
      <c r="P111" s="7" t="s">
        <v>34</v>
      </c>
      <c r="Q111" s="7" t="s">
        <v>34</v>
      </c>
      <c r="R111" s="7" t="s">
        <v>35</v>
      </c>
      <c r="S111" s="8" t="s">
        <v>639</v>
      </c>
      <c r="T111" s="7" t="s">
        <v>37</v>
      </c>
    </row>
    <row r="112" customHeight="1" spans="1:20">
      <c r="A112" s="7">
        <v>111219</v>
      </c>
      <c r="B112" s="7" t="s">
        <v>191</v>
      </c>
      <c r="C112" s="7" t="s">
        <v>138</v>
      </c>
      <c r="D112" s="8" t="s">
        <v>257</v>
      </c>
      <c r="E112" s="7" t="s">
        <v>23</v>
      </c>
      <c r="F112" s="7" t="s">
        <v>24</v>
      </c>
      <c r="G112" s="8" t="s">
        <v>640</v>
      </c>
      <c r="H112" s="7" t="s">
        <v>497</v>
      </c>
      <c r="I112" s="11" t="s">
        <v>26</v>
      </c>
      <c r="J112" s="7" t="s">
        <v>641</v>
      </c>
      <c r="K112" s="7" t="s">
        <v>642</v>
      </c>
      <c r="L112" s="7" t="s">
        <v>196</v>
      </c>
      <c r="M112" s="12" t="s">
        <v>31</v>
      </c>
      <c r="N112" s="7" t="s">
        <v>32</v>
      </c>
      <c r="O112" s="7" t="s">
        <v>197</v>
      </c>
      <c r="P112" s="7" t="s">
        <v>34</v>
      </c>
      <c r="Q112" s="7" t="s">
        <v>34</v>
      </c>
      <c r="R112" s="7" t="s">
        <v>35</v>
      </c>
      <c r="S112" s="8" t="s">
        <v>643</v>
      </c>
      <c r="T112" s="7" t="s">
        <v>37</v>
      </c>
    </row>
    <row r="113" customHeight="1" spans="1:20">
      <c r="A113" s="7">
        <v>117310</v>
      </c>
      <c r="B113" s="7" t="s">
        <v>454</v>
      </c>
      <c r="C113" s="7" t="s">
        <v>138</v>
      </c>
      <c r="D113" s="8" t="s">
        <v>257</v>
      </c>
      <c r="E113" s="7" t="s">
        <v>23</v>
      </c>
      <c r="F113" s="7" t="s">
        <v>24</v>
      </c>
      <c r="G113" s="8" t="s">
        <v>648</v>
      </c>
      <c r="H113" s="7" t="s">
        <v>497</v>
      </c>
      <c r="I113" s="11" t="s">
        <v>26</v>
      </c>
      <c r="J113" s="7" t="s">
        <v>649</v>
      </c>
      <c r="K113" s="7" t="s">
        <v>650</v>
      </c>
      <c r="L113" s="7" t="s">
        <v>458</v>
      </c>
      <c r="M113" s="12" t="s">
        <v>31</v>
      </c>
      <c r="N113" s="7" t="s">
        <v>32</v>
      </c>
      <c r="O113" s="7" t="s">
        <v>197</v>
      </c>
      <c r="P113" s="7" t="s">
        <v>34</v>
      </c>
      <c r="Q113" s="7" t="s">
        <v>1839</v>
      </c>
      <c r="R113" s="7" t="s">
        <v>35</v>
      </c>
      <c r="S113" s="8" t="s">
        <v>651</v>
      </c>
      <c r="T113" s="7" t="s">
        <v>37</v>
      </c>
    </row>
    <row r="114" customHeight="1" spans="1:20">
      <c r="A114" s="7">
        <v>117310</v>
      </c>
      <c r="B114" s="7" t="s">
        <v>454</v>
      </c>
      <c r="C114" s="7" t="s">
        <v>138</v>
      </c>
      <c r="D114" s="8" t="s">
        <v>168</v>
      </c>
      <c r="E114" s="7" t="s">
        <v>23</v>
      </c>
      <c r="F114" s="7" t="s">
        <v>24</v>
      </c>
      <c r="G114" s="8" t="s">
        <v>652</v>
      </c>
      <c r="H114" s="7" t="s">
        <v>241</v>
      </c>
      <c r="I114" s="11" t="s">
        <v>130</v>
      </c>
      <c r="J114" s="7" t="s">
        <v>653</v>
      </c>
      <c r="K114" s="7" t="s">
        <v>654</v>
      </c>
      <c r="L114" s="7" t="s">
        <v>458</v>
      </c>
      <c r="M114" s="12" t="s">
        <v>31</v>
      </c>
      <c r="N114" s="7" t="s">
        <v>32</v>
      </c>
      <c r="O114" s="7" t="s">
        <v>197</v>
      </c>
      <c r="P114" s="7" t="s">
        <v>34</v>
      </c>
      <c r="Q114" s="7" t="s">
        <v>1839</v>
      </c>
      <c r="R114" s="7" t="s">
        <v>35</v>
      </c>
      <c r="S114" s="8" t="s">
        <v>655</v>
      </c>
      <c r="T114" s="7" t="s">
        <v>37</v>
      </c>
    </row>
    <row r="115" customHeight="1" spans="1:20">
      <c r="A115" s="7">
        <v>117310</v>
      </c>
      <c r="B115" s="7" t="s">
        <v>454</v>
      </c>
      <c r="C115" s="7" t="s">
        <v>138</v>
      </c>
      <c r="D115" s="8" t="s">
        <v>147</v>
      </c>
      <c r="E115" s="7" t="s">
        <v>23</v>
      </c>
      <c r="F115" s="7" t="s">
        <v>24</v>
      </c>
      <c r="G115" s="8" t="s">
        <v>656</v>
      </c>
      <c r="H115" s="7" t="s">
        <v>241</v>
      </c>
      <c r="I115" s="11" t="s">
        <v>130</v>
      </c>
      <c r="J115" s="7" t="s">
        <v>657</v>
      </c>
      <c r="K115" s="7" t="s">
        <v>658</v>
      </c>
      <c r="L115" s="7" t="s">
        <v>458</v>
      </c>
      <c r="M115" s="12" t="s">
        <v>31</v>
      </c>
      <c r="N115" s="7" t="s">
        <v>32</v>
      </c>
      <c r="O115" s="7" t="s">
        <v>197</v>
      </c>
      <c r="P115" s="7" t="s">
        <v>34</v>
      </c>
      <c r="Q115" s="7" t="s">
        <v>1839</v>
      </c>
      <c r="R115" s="7" t="s">
        <v>35</v>
      </c>
      <c r="S115" s="8" t="s">
        <v>659</v>
      </c>
      <c r="T115" s="7" t="s">
        <v>37</v>
      </c>
    </row>
    <row r="116" customHeight="1" spans="1:20">
      <c r="A116" s="7">
        <v>117310</v>
      </c>
      <c r="B116" s="7" t="s">
        <v>454</v>
      </c>
      <c r="C116" s="7" t="s">
        <v>138</v>
      </c>
      <c r="D116" s="8" t="s">
        <v>152</v>
      </c>
      <c r="E116" s="7" t="s">
        <v>23</v>
      </c>
      <c r="F116" s="7" t="s">
        <v>24</v>
      </c>
      <c r="G116" s="8" t="s">
        <v>656</v>
      </c>
      <c r="H116" s="7" t="s">
        <v>241</v>
      </c>
      <c r="I116" s="11" t="s">
        <v>130</v>
      </c>
      <c r="J116" s="7" t="s">
        <v>660</v>
      </c>
      <c r="K116" s="7" t="s">
        <v>661</v>
      </c>
      <c r="L116" s="7" t="s">
        <v>458</v>
      </c>
      <c r="M116" s="12" t="s">
        <v>31</v>
      </c>
      <c r="N116" s="7" t="s">
        <v>32</v>
      </c>
      <c r="O116" s="7" t="s">
        <v>197</v>
      </c>
      <c r="P116" s="7" t="s">
        <v>34</v>
      </c>
      <c r="Q116" s="7" t="s">
        <v>1839</v>
      </c>
      <c r="R116" s="7" t="s">
        <v>35</v>
      </c>
      <c r="S116" s="8" t="s">
        <v>662</v>
      </c>
      <c r="T116" s="7" t="s">
        <v>37</v>
      </c>
    </row>
    <row r="117" customHeight="1" spans="1:20">
      <c r="A117" s="7">
        <v>117310</v>
      </c>
      <c r="B117" s="7" t="s">
        <v>454</v>
      </c>
      <c r="C117" s="7" t="s">
        <v>138</v>
      </c>
      <c r="D117" s="8" t="s">
        <v>156</v>
      </c>
      <c r="E117" s="7" t="s">
        <v>23</v>
      </c>
      <c r="F117" s="7" t="s">
        <v>24</v>
      </c>
      <c r="G117" s="8" t="s">
        <v>663</v>
      </c>
      <c r="H117" s="7" t="s">
        <v>241</v>
      </c>
      <c r="I117" s="11" t="s">
        <v>130</v>
      </c>
      <c r="J117" s="7" t="s">
        <v>664</v>
      </c>
      <c r="K117" s="7" t="s">
        <v>665</v>
      </c>
      <c r="L117" s="7" t="s">
        <v>458</v>
      </c>
      <c r="M117" s="12" t="s">
        <v>31</v>
      </c>
      <c r="N117" s="7" t="s">
        <v>32</v>
      </c>
      <c r="O117" s="7" t="s">
        <v>197</v>
      </c>
      <c r="P117" s="7" t="s">
        <v>34</v>
      </c>
      <c r="Q117" s="7" t="s">
        <v>1839</v>
      </c>
      <c r="R117" s="7" t="s">
        <v>35</v>
      </c>
      <c r="S117" s="8" t="s">
        <v>666</v>
      </c>
      <c r="T117" s="7" t="s">
        <v>37</v>
      </c>
    </row>
    <row r="118" customHeight="1" spans="1:20">
      <c r="A118" s="7">
        <v>117310</v>
      </c>
      <c r="B118" s="7" t="s">
        <v>454</v>
      </c>
      <c r="C118" s="7" t="s">
        <v>138</v>
      </c>
      <c r="D118" s="8" t="s">
        <v>161</v>
      </c>
      <c r="E118" s="7" t="s">
        <v>23</v>
      </c>
      <c r="F118" s="7" t="s">
        <v>24</v>
      </c>
      <c r="G118" s="8" t="s">
        <v>663</v>
      </c>
      <c r="H118" s="7" t="s">
        <v>241</v>
      </c>
      <c r="I118" s="11" t="s">
        <v>130</v>
      </c>
      <c r="J118" s="7" t="s">
        <v>667</v>
      </c>
      <c r="K118" s="7" t="s">
        <v>668</v>
      </c>
      <c r="L118" s="7" t="s">
        <v>458</v>
      </c>
      <c r="M118" s="12" t="s">
        <v>31</v>
      </c>
      <c r="N118" s="7" t="s">
        <v>32</v>
      </c>
      <c r="O118" s="7" t="s">
        <v>197</v>
      </c>
      <c r="P118" s="7" t="s">
        <v>34</v>
      </c>
      <c r="Q118" s="7" t="s">
        <v>1839</v>
      </c>
      <c r="R118" s="7" t="s">
        <v>35</v>
      </c>
      <c r="S118" s="8" t="s">
        <v>669</v>
      </c>
      <c r="T118" s="7" t="s">
        <v>37</v>
      </c>
    </row>
    <row r="119" customHeight="1" spans="1:20">
      <c r="A119" s="7">
        <v>117310</v>
      </c>
      <c r="B119" s="7" t="s">
        <v>454</v>
      </c>
      <c r="C119" s="7" t="s">
        <v>138</v>
      </c>
      <c r="D119" s="8" t="s">
        <v>139</v>
      </c>
      <c r="E119" s="7" t="s">
        <v>23</v>
      </c>
      <c r="F119" s="7" t="s">
        <v>24</v>
      </c>
      <c r="G119" s="8" t="s">
        <v>663</v>
      </c>
      <c r="H119" s="7" t="s">
        <v>241</v>
      </c>
      <c r="I119" s="11" t="s">
        <v>130</v>
      </c>
      <c r="J119" s="7" t="s">
        <v>670</v>
      </c>
      <c r="K119" s="7" t="s">
        <v>671</v>
      </c>
      <c r="L119" s="7" t="s">
        <v>458</v>
      </c>
      <c r="M119" s="12" t="s">
        <v>31</v>
      </c>
      <c r="N119" s="7" t="s">
        <v>32</v>
      </c>
      <c r="O119" s="7" t="s">
        <v>197</v>
      </c>
      <c r="P119" s="7" t="s">
        <v>34</v>
      </c>
      <c r="Q119" s="7" t="s">
        <v>1839</v>
      </c>
      <c r="R119" s="7" t="s">
        <v>35</v>
      </c>
      <c r="S119" s="8" t="s">
        <v>672</v>
      </c>
      <c r="T119" s="7" t="s">
        <v>37</v>
      </c>
    </row>
    <row r="120" customHeight="1" spans="1:20">
      <c r="A120" s="7">
        <v>103198</v>
      </c>
      <c r="B120" s="7" t="s">
        <v>323</v>
      </c>
      <c r="C120" s="7" t="s">
        <v>138</v>
      </c>
      <c r="D120" s="8" t="s">
        <v>257</v>
      </c>
      <c r="E120" s="7" t="s">
        <v>23</v>
      </c>
      <c r="F120" s="7" t="s">
        <v>24</v>
      </c>
      <c r="G120" s="8" t="s">
        <v>673</v>
      </c>
      <c r="H120" s="7" t="s">
        <v>497</v>
      </c>
      <c r="I120" s="11" t="s">
        <v>26</v>
      </c>
      <c r="J120" s="7" t="s">
        <v>674</v>
      </c>
      <c r="K120" s="7" t="s">
        <v>675</v>
      </c>
      <c r="L120" s="7" t="s">
        <v>327</v>
      </c>
      <c r="M120" s="12" t="s">
        <v>31</v>
      </c>
      <c r="N120" s="7" t="s">
        <v>32</v>
      </c>
      <c r="O120" s="7" t="s">
        <v>197</v>
      </c>
      <c r="P120" s="7" t="s">
        <v>34</v>
      </c>
      <c r="Q120" s="7" t="s">
        <v>1839</v>
      </c>
      <c r="R120" s="7" t="s">
        <v>35</v>
      </c>
      <c r="S120" s="8" t="s">
        <v>676</v>
      </c>
      <c r="T120" s="7" t="s">
        <v>37</v>
      </c>
    </row>
    <row r="121" customHeight="1" spans="1:20">
      <c r="A121" s="7">
        <v>103198</v>
      </c>
      <c r="B121" s="7" t="s">
        <v>323</v>
      </c>
      <c r="C121" s="7" t="s">
        <v>677</v>
      </c>
      <c r="D121" s="8" t="s">
        <v>678</v>
      </c>
      <c r="E121" s="7" t="s">
        <v>23</v>
      </c>
      <c r="F121" s="7" t="s">
        <v>24</v>
      </c>
      <c r="G121" s="8" t="s">
        <v>679</v>
      </c>
      <c r="H121" s="7" t="s">
        <v>241</v>
      </c>
      <c r="I121" s="11" t="s">
        <v>130</v>
      </c>
      <c r="J121" s="7" t="s">
        <v>680</v>
      </c>
      <c r="K121" s="7" t="s">
        <v>681</v>
      </c>
      <c r="L121" s="7" t="s">
        <v>327</v>
      </c>
      <c r="M121" s="12" t="s">
        <v>31</v>
      </c>
      <c r="N121" s="7" t="s">
        <v>32</v>
      </c>
      <c r="O121" s="7" t="s">
        <v>197</v>
      </c>
      <c r="P121" s="7" t="s">
        <v>1839</v>
      </c>
      <c r="Q121" s="7" t="s">
        <v>1839</v>
      </c>
      <c r="R121" s="7" t="s">
        <v>60</v>
      </c>
      <c r="S121" s="8" t="s">
        <v>682</v>
      </c>
      <c r="T121" s="7" t="s">
        <v>37</v>
      </c>
    </row>
    <row r="122" customHeight="1" spans="1:20">
      <c r="A122" s="7">
        <v>103198</v>
      </c>
      <c r="B122" s="7" t="s">
        <v>323</v>
      </c>
      <c r="C122" s="7" t="s">
        <v>683</v>
      </c>
      <c r="D122" s="8" t="s">
        <v>684</v>
      </c>
      <c r="E122" s="7" t="s">
        <v>23</v>
      </c>
      <c r="F122" s="7" t="s">
        <v>24</v>
      </c>
      <c r="G122" s="8" t="s">
        <v>679</v>
      </c>
      <c r="H122" s="7" t="s">
        <v>241</v>
      </c>
      <c r="I122" s="11" t="s">
        <v>130</v>
      </c>
      <c r="J122" s="7" t="s">
        <v>685</v>
      </c>
      <c r="K122" s="7" t="s">
        <v>686</v>
      </c>
      <c r="L122" s="7" t="s">
        <v>327</v>
      </c>
      <c r="M122" s="12" t="s">
        <v>31</v>
      </c>
      <c r="N122" s="7" t="s">
        <v>32</v>
      </c>
      <c r="O122" s="7" t="s">
        <v>197</v>
      </c>
      <c r="P122" s="7" t="s">
        <v>1839</v>
      </c>
      <c r="Q122" s="7" t="s">
        <v>1839</v>
      </c>
      <c r="R122" s="7" t="s">
        <v>60</v>
      </c>
      <c r="S122" s="8" t="s">
        <v>687</v>
      </c>
      <c r="T122" s="7" t="s">
        <v>37</v>
      </c>
    </row>
    <row r="123" customHeight="1" spans="1:20">
      <c r="A123" s="7">
        <v>103198</v>
      </c>
      <c r="B123" s="7" t="s">
        <v>323</v>
      </c>
      <c r="C123" s="7" t="s">
        <v>683</v>
      </c>
      <c r="D123" s="8" t="s">
        <v>688</v>
      </c>
      <c r="E123" s="7" t="s">
        <v>23</v>
      </c>
      <c r="F123" s="7" t="s">
        <v>24</v>
      </c>
      <c r="G123" s="8" t="s">
        <v>679</v>
      </c>
      <c r="H123" s="7" t="s">
        <v>241</v>
      </c>
      <c r="I123" s="11" t="s">
        <v>130</v>
      </c>
      <c r="J123" s="7" t="s">
        <v>689</v>
      </c>
      <c r="K123" s="7" t="s">
        <v>690</v>
      </c>
      <c r="L123" s="7" t="s">
        <v>327</v>
      </c>
      <c r="M123" s="12" t="s">
        <v>31</v>
      </c>
      <c r="N123" s="7" t="s">
        <v>32</v>
      </c>
      <c r="O123" s="7" t="s">
        <v>197</v>
      </c>
      <c r="P123" s="7" t="s">
        <v>1839</v>
      </c>
      <c r="Q123" s="7" t="s">
        <v>1839</v>
      </c>
      <c r="R123" s="7" t="s">
        <v>60</v>
      </c>
      <c r="S123" s="8" t="s">
        <v>691</v>
      </c>
      <c r="T123" s="7" t="s">
        <v>37</v>
      </c>
    </row>
    <row r="124" customHeight="1" spans="1:20">
      <c r="A124" s="7">
        <v>103198</v>
      </c>
      <c r="B124" s="7" t="s">
        <v>323</v>
      </c>
      <c r="C124" s="7" t="s">
        <v>692</v>
      </c>
      <c r="D124" s="8" t="s">
        <v>693</v>
      </c>
      <c r="E124" s="7" t="s">
        <v>23</v>
      </c>
      <c r="F124" s="7" t="s">
        <v>24</v>
      </c>
      <c r="G124" s="8" t="s">
        <v>679</v>
      </c>
      <c r="H124" s="7" t="s">
        <v>241</v>
      </c>
      <c r="I124" s="11" t="s">
        <v>130</v>
      </c>
      <c r="J124" s="7" t="s">
        <v>694</v>
      </c>
      <c r="K124" s="7" t="s">
        <v>695</v>
      </c>
      <c r="L124" s="7" t="s">
        <v>327</v>
      </c>
      <c r="M124" s="12" t="s">
        <v>31</v>
      </c>
      <c r="N124" s="7" t="s">
        <v>32</v>
      </c>
      <c r="O124" s="7" t="s">
        <v>197</v>
      </c>
      <c r="P124" s="7" t="s">
        <v>34</v>
      </c>
      <c r="Q124" s="7" t="s">
        <v>1839</v>
      </c>
      <c r="R124" s="7" t="s">
        <v>60</v>
      </c>
      <c r="S124" s="8" t="s">
        <v>696</v>
      </c>
      <c r="T124" s="7" t="s">
        <v>37</v>
      </c>
    </row>
    <row r="125" customHeight="1" spans="1:20">
      <c r="A125" s="7">
        <v>103198</v>
      </c>
      <c r="B125" s="7" t="s">
        <v>323</v>
      </c>
      <c r="C125" s="7" t="s">
        <v>138</v>
      </c>
      <c r="D125" s="8" t="s">
        <v>168</v>
      </c>
      <c r="E125" s="7" t="s">
        <v>23</v>
      </c>
      <c r="F125" s="7" t="s">
        <v>24</v>
      </c>
      <c r="G125" s="8" t="s">
        <v>697</v>
      </c>
      <c r="H125" s="7" t="s">
        <v>241</v>
      </c>
      <c r="I125" s="11" t="s">
        <v>130</v>
      </c>
      <c r="J125" s="7" t="s">
        <v>698</v>
      </c>
      <c r="K125" s="7" t="s">
        <v>699</v>
      </c>
      <c r="L125" s="7" t="s">
        <v>327</v>
      </c>
      <c r="M125" s="12" t="s">
        <v>31</v>
      </c>
      <c r="N125" s="7" t="s">
        <v>32</v>
      </c>
      <c r="O125" s="7" t="s">
        <v>197</v>
      </c>
      <c r="P125" s="7" t="s">
        <v>34</v>
      </c>
      <c r="Q125" s="7" t="s">
        <v>1839</v>
      </c>
      <c r="R125" s="7" t="s">
        <v>35</v>
      </c>
      <c r="S125" s="8" t="s">
        <v>700</v>
      </c>
      <c r="T125" s="7" t="s">
        <v>37</v>
      </c>
    </row>
    <row r="126" customHeight="1" spans="1:20">
      <c r="A126" s="7">
        <v>738</v>
      </c>
      <c r="B126" s="7" t="s">
        <v>278</v>
      </c>
      <c r="C126" s="7" t="s">
        <v>291</v>
      </c>
      <c r="D126" s="8" t="s">
        <v>292</v>
      </c>
      <c r="E126" s="7" t="s">
        <v>23</v>
      </c>
      <c r="F126" s="7" t="s">
        <v>24</v>
      </c>
      <c r="G126" s="8" t="s">
        <v>712</v>
      </c>
      <c r="H126" s="7" t="s">
        <v>497</v>
      </c>
      <c r="I126" s="11" t="s">
        <v>26</v>
      </c>
      <c r="J126" s="7" t="s">
        <v>713</v>
      </c>
      <c r="K126" s="7" t="s">
        <v>714</v>
      </c>
      <c r="L126" s="7" t="s">
        <v>282</v>
      </c>
      <c r="M126" s="12" t="s">
        <v>31</v>
      </c>
      <c r="N126" s="7" t="s">
        <v>32</v>
      </c>
      <c r="O126" s="7" t="s">
        <v>145</v>
      </c>
      <c r="P126" s="7" t="s">
        <v>1839</v>
      </c>
      <c r="Q126" s="7" t="s">
        <v>1839</v>
      </c>
      <c r="R126" s="7" t="s">
        <v>35</v>
      </c>
      <c r="S126" s="8" t="s">
        <v>715</v>
      </c>
      <c r="T126" s="7" t="s">
        <v>37</v>
      </c>
    </row>
    <row r="127" customHeight="1" spans="1:20">
      <c r="A127" s="7">
        <v>738</v>
      </c>
      <c r="B127" s="7" t="s">
        <v>278</v>
      </c>
      <c r="C127" s="7" t="s">
        <v>138</v>
      </c>
      <c r="D127" s="8" t="s">
        <v>257</v>
      </c>
      <c r="E127" s="7" t="s">
        <v>23</v>
      </c>
      <c r="F127" s="7" t="s">
        <v>24</v>
      </c>
      <c r="G127" s="8" t="s">
        <v>716</v>
      </c>
      <c r="H127" s="7" t="s">
        <v>497</v>
      </c>
      <c r="I127" s="11" t="s">
        <v>26</v>
      </c>
      <c r="J127" s="7" t="s">
        <v>717</v>
      </c>
      <c r="K127" s="7" t="s">
        <v>718</v>
      </c>
      <c r="L127" s="7" t="s">
        <v>282</v>
      </c>
      <c r="M127" s="12" t="s">
        <v>31</v>
      </c>
      <c r="N127" s="7" t="s">
        <v>32</v>
      </c>
      <c r="O127" s="7" t="s">
        <v>145</v>
      </c>
      <c r="P127" s="7" t="s">
        <v>34</v>
      </c>
      <c r="Q127" s="7" t="s">
        <v>34</v>
      </c>
      <c r="R127" s="7" t="s">
        <v>35</v>
      </c>
      <c r="S127" s="8" t="s">
        <v>719</v>
      </c>
      <c r="T127" s="7" t="s">
        <v>37</v>
      </c>
    </row>
    <row r="128" customHeight="1" spans="1:20">
      <c r="A128" s="7">
        <v>116482</v>
      </c>
      <c r="B128" s="7" t="s">
        <v>720</v>
      </c>
      <c r="C128" s="7" t="s">
        <v>692</v>
      </c>
      <c r="D128" s="8" t="s">
        <v>721</v>
      </c>
      <c r="E128" s="7" t="s">
        <v>23</v>
      </c>
      <c r="F128" s="7" t="s">
        <v>24</v>
      </c>
      <c r="G128" s="8" t="s">
        <v>722</v>
      </c>
      <c r="H128" s="7" t="s">
        <v>540</v>
      </c>
      <c r="I128" s="11" t="s">
        <v>497</v>
      </c>
      <c r="J128" s="7" t="s">
        <v>723</v>
      </c>
      <c r="K128" s="7" t="s">
        <v>724</v>
      </c>
      <c r="L128" s="7" t="s">
        <v>725</v>
      </c>
      <c r="M128" s="12" t="s">
        <v>31</v>
      </c>
      <c r="N128" s="7" t="s">
        <v>32</v>
      </c>
      <c r="O128" s="7" t="s">
        <v>726</v>
      </c>
      <c r="P128" s="7" t="s">
        <v>34</v>
      </c>
      <c r="Q128" s="7" t="s">
        <v>34</v>
      </c>
      <c r="R128" s="7" t="s">
        <v>60</v>
      </c>
      <c r="S128" s="8" t="s">
        <v>727</v>
      </c>
      <c r="T128" s="7" t="s">
        <v>37</v>
      </c>
    </row>
    <row r="129" customHeight="1" spans="1:20">
      <c r="A129" s="7">
        <v>116482</v>
      </c>
      <c r="B129" s="7" t="s">
        <v>720</v>
      </c>
      <c r="C129" s="7" t="s">
        <v>683</v>
      </c>
      <c r="D129" s="8" t="s">
        <v>728</v>
      </c>
      <c r="E129" s="7" t="s">
        <v>23</v>
      </c>
      <c r="F129" s="7" t="s">
        <v>24</v>
      </c>
      <c r="G129" s="8" t="s">
        <v>722</v>
      </c>
      <c r="H129" s="7" t="s">
        <v>540</v>
      </c>
      <c r="I129" s="11" t="s">
        <v>497</v>
      </c>
      <c r="J129" s="7" t="s">
        <v>729</v>
      </c>
      <c r="K129" s="7" t="s">
        <v>730</v>
      </c>
      <c r="L129" s="7" t="s">
        <v>725</v>
      </c>
      <c r="M129" s="12" t="s">
        <v>31</v>
      </c>
      <c r="N129" s="7" t="s">
        <v>32</v>
      </c>
      <c r="O129" s="7" t="s">
        <v>726</v>
      </c>
      <c r="P129" s="7" t="s">
        <v>1839</v>
      </c>
      <c r="Q129" s="7" t="s">
        <v>34</v>
      </c>
      <c r="R129" s="7" t="s">
        <v>60</v>
      </c>
      <c r="S129" s="8" t="s">
        <v>731</v>
      </c>
      <c r="T129" s="7" t="s">
        <v>37</v>
      </c>
    </row>
    <row r="130" customHeight="1" spans="1:20">
      <c r="A130" s="7">
        <v>727</v>
      </c>
      <c r="B130" s="7" t="s">
        <v>397</v>
      </c>
      <c r="C130" s="7" t="s">
        <v>138</v>
      </c>
      <c r="D130" s="8" t="s">
        <v>139</v>
      </c>
      <c r="E130" s="7" t="s">
        <v>23</v>
      </c>
      <c r="F130" s="7" t="s">
        <v>24</v>
      </c>
      <c r="G130" s="8" t="s">
        <v>732</v>
      </c>
      <c r="H130" s="7" t="s">
        <v>241</v>
      </c>
      <c r="I130" s="11" t="s">
        <v>130</v>
      </c>
      <c r="J130" s="7" t="s">
        <v>733</v>
      </c>
      <c r="K130" s="7" t="s">
        <v>734</v>
      </c>
      <c r="L130" s="7" t="s">
        <v>401</v>
      </c>
      <c r="M130" s="12" t="s">
        <v>31</v>
      </c>
      <c r="N130" s="7" t="s">
        <v>32</v>
      </c>
      <c r="O130" s="7" t="s">
        <v>197</v>
      </c>
      <c r="P130" s="7" t="s">
        <v>34</v>
      </c>
      <c r="Q130" s="7" t="s">
        <v>1839</v>
      </c>
      <c r="R130" s="7" t="s">
        <v>35</v>
      </c>
      <c r="S130" s="8" t="s">
        <v>735</v>
      </c>
      <c r="T130" s="7" t="s">
        <v>37</v>
      </c>
    </row>
    <row r="131" customHeight="1" spans="1:20">
      <c r="A131" s="7">
        <v>727</v>
      </c>
      <c r="B131" s="7" t="s">
        <v>397</v>
      </c>
      <c r="C131" s="7" t="s">
        <v>138</v>
      </c>
      <c r="D131" s="8" t="s">
        <v>156</v>
      </c>
      <c r="E131" s="7" t="s">
        <v>23</v>
      </c>
      <c r="F131" s="7" t="s">
        <v>24</v>
      </c>
      <c r="G131" s="8" t="s">
        <v>732</v>
      </c>
      <c r="H131" s="7" t="s">
        <v>241</v>
      </c>
      <c r="I131" s="11" t="s">
        <v>130</v>
      </c>
      <c r="J131" s="7" t="s">
        <v>736</v>
      </c>
      <c r="K131" s="7" t="s">
        <v>737</v>
      </c>
      <c r="L131" s="7" t="s">
        <v>401</v>
      </c>
      <c r="M131" s="12" t="s">
        <v>31</v>
      </c>
      <c r="N131" s="7" t="s">
        <v>32</v>
      </c>
      <c r="O131" s="7" t="s">
        <v>197</v>
      </c>
      <c r="P131" s="7" t="s">
        <v>34</v>
      </c>
      <c r="Q131" s="7" t="s">
        <v>1839</v>
      </c>
      <c r="R131" s="7" t="s">
        <v>35</v>
      </c>
      <c r="S131" s="8" t="s">
        <v>738</v>
      </c>
      <c r="T131" s="7" t="s">
        <v>37</v>
      </c>
    </row>
    <row r="132" customHeight="1" spans="1:20">
      <c r="A132" s="7">
        <v>727</v>
      </c>
      <c r="B132" s="7" t="s">
        <v>397</v>
      </c>
      <c r="C132" s="7" t="s">
        <v>138</v>
      </c>
      <c r="D132" s="8" t="s">
        <v>161</v>
      </c>
      <c r="E132" s="7" t="s">
        <v>23</v>
      </c>
      <c r="F132" s="7" t="s">
        <v>24</v>
      </c>
      <c r="G132" s="8" t="s">
        <v>732</v>
      </c>
      <c r="H132" s="7" t="s">
        <v>241</v>
      </c>
      <c r="I132" s="11" t="s">
        <v>130</v>
      </c>
      <c r="J132" s="7" t="s">
        <v>739</v>
      </c>
      <c r="K132" s="7" t="s">
        <v>740</v>
      </c>
      <c r="L132" s="7" t="s">
        <v>401</v>
      </c>
      <c r="M132" s="12" t="s">
        <v>31</v>
      </c>
      <c r="N132" s="7" t="s">
        <v>32</v>
      </c>
      <c r="O132" s="7" t="s">
        <v>197</v>
      </c>
      <c r="P132" s="7" t="s">
        <v>34</v>
      </c>
      <c r="Q132" s="7" t="s">
        <v>1839</v>
      </c>
      <c r="R132" s="7" t="s">
        <v>35</v>
      </c>
      <c r="S132" s="8" t="s">
        <v>741</v>
      </c>
      <c r="T132" s="7" t="s">
        <v>37</v>
      </c>
    </row>
    <row r="133" customHeight="1" spans="1:20">
      <c r="A133" s="7">
        <v>727</v>
      </c>
      <c r="B133" s="7" t="s">
        <v>397</v>
      </c>
      <c r="C133" s="7" t="s">
        <v>138</v>
      </c>
      <c r="D133" s="8" t="s">
        <v>152</v>
      </c>
      <c r="E133" s="7" t="s">
        <v>23</v>
      </c>
      <c r="F133" s="7" t="s">
        <v>24</v>
      </c>
      <c r="G133" s="8" t="s">
        <v>742</v>
      </c>
      <c r="H133" s="7" t="s">
        <v>241</v>
      </c>
      <c r="I133" s="11" t="s">
        <v>130</v>
      </c>
      <c r="J133" s="7" t="s">
        <v>743</v>
      </c>
      <c r="K133" s="7" t="s">
        <v>744</v>
      </c>
      <c r="L133" s="7" t="s">
        <v>401</v>
      </c>
      <c r="M133" s="12" t="s">
        <v>31</v>
      </c>
      <c r="N133" s="7" t="s">
        <v>32</v>
      </c>
      <c r="O133" s="7" t="s">
        <v>197</v>
      </c>
      <c r="P133" s="7" t="s">
        <v>34</v>
      </c>
      <c r="Q133" s="7" t="s">
        <v>1839</v>
      </c>
      <c r="R133" s="7" t="s">
        <v>35</v>
      </c>
      <c r="S133" s="8" t="s">
        <v>745</v>
      </c>
      <c r="T133" s="7" t="s">
        <v>37</v>
      </c>
    </row>
    <row r="134" customHeight="1" spans="1:20">
      <c r="A134" s="7">
        <v>727</v>
      </c>
      <c r="B134" s="7" t="s">
        <v>397</v>
      </c>
      <c r="C134" s="7" t="s">
        <v>138</v>
      </c>
      <c r="D134" s="8" t="s">
        <v>147</v>
      </c>
      <c r="E134" s="7" t="s">
        <v>23</v>
      </c>
      <c r="F134" s="7" t="s">
        <v>24</v>
      </c>
      <c r="G134" s="8" t="s">
        <v>742</v>
      </c>
      <c r="H134" s="7" t="s">
        <v>241</v>
      </c>
      <c r="I134" s="11" t="s">
        <v>130</v>
      </c>
      <c r="J134" s="7" t="s">
        <v>746</v>
      </c>
      <c r="K134" s="7" t="s">
        <v>747</v>
      </c>
      <c r="L134" s="7" t="s">
        <v>401</v>
      </c>
      <c r="M134" s="12" t="s">
        <v>31</v>
      </c>
      <c r="N134" s="7" t="s">
        <v>32</v>
      </c>
      <c r="O134" s="7" t="s">
        <v>197</v>
      </c>
      <c r="P134" s="7" t="s">
        <v>34</v>
      </c>
      <c r="Q134" s="7" t="s">
        <v>1839</v>
      </c>
      <c r="R134" s="7" t="s">
        <v>35</v>
      </c>
      <c r="S134" s="8" t="s">
        <v>748</v>
      </c>
      <c r="T134" s="7" t="s">
        <v>37</v>
      </c>
    </row>
    <row r="135" customHeight="1" spans="1:20">
      <c r="A135" s="7">
        <v>118151</v>
      </c>
      <c r="B135" s="7" t="s">
        <v>753</v>
      </c>
      <c r="C135" s="7" t="s">
        <v>138</v>
      </c>
      <c r="D135" s="8" t="s">
        <v>161</v>
      </c>
      <c r="E135" s="7" t="s">
        <v>23</v>
      </c>
      <c r="F135" s="7" t="s">
        <v>24</v>
      </c>
      <c r="G135" s="8" t="s">
        <v>749</v>
      </c>
      <c r="H135" s="7" t="s">
        <v>241</v>
      </c>
      <c r="I135" s="11" t="s">
        <v>130</v>
      </c>
      <c r="J135" s="7" t="s">
        <v>754</v>
      </c>
      <c r="K135" s="7" t="s">
        <v>755</v>
      </c>
      <c r="L135" s="7" t="s">
        <v>249</v>
      </c>
      <c r="M135" s="12" t="s">
        <v>31</v>
      </c>
      <c r="N135" s="7" t="s">
        <v>32</v>
      </c>
      <c r="O135" s="7" t="s">
        <v>197</v>
      </c>
      <c r="P135" s="7" t="s">
        <v>34</v>
      </c>
      <c r="Q135" s="7" t="s">
        <v>1839</v>
      </c>
      <c r="R135" s="7" t="s">
        <v>35</v>
      </c>
      <c r="S135" s="8" t="s">
        <v>756</v>
      </c>
      <c r="T135" s="7" t="s">
        <v>37</v>
      </c>
    </row>
    <row r="136" customHeight="1" spans="1:20">
      <c r="A136" s="7">
        <v>745</v>
      </c>
      <c r="B136" s="7" t="s">
        <v>771</v>
      </c>
      <c r="C136" s="7" t="s">
        <v>138</v>
      </c>
      <c r="D136" s="8" t="s">
        <v>168</v>
      </c>
      <c r="E136" s="7" t="s">
        <v>23</v>
      </c>
      <c r="F136" s="7" t="s">
        <v>24</v>
      </c>
      <c r="G136" s="8" t="s">
        <v>772</v>
      </c>
      <c r="H136" s="7" t="s">
        <v>241</v>
      </c>
      <c r="I136" s="11" t="s">
        <v>130</v>
      </c>
      <c r="J136" s="7" t="s">
        <v>773</v>
      </c>
      <c r="K136" s="7" t="s">
        <v>774</v>
      </c>
      <c r="L136" s="7" t="s">
        <v>775</v>
      </c>
      <c r="M136" s="12" t="s">
        <v>31</v>
      </c>
      <c r="N136" s="7" t="s">
        <v>32</v>
      </c>
      <c r="O136" s="7" t="s">
        <v>197</v>
      </c>
      <c r="P136" s="7" t="s">
        <v>34</v>
      </c>
      <c r="Q136" s="7" t="s">
        <v>1839</v>
      </c>
      <c r="R136" s="7" t="s">
        <v>35</v>
      </c>
      <c r="S136" s="8" t="s">
        <v>776</v>
      </c>
      <c r="T136" s="7" t="s">
        <v>37</v>
      </c>
    </row>
    <row r="137" customHeight="1" spans="1:20">
      <c r="A137" s="7">
        <v>745</v>
      </c>
      <c r="B137" s="7" t="s">
        <v>771</v>
      </c>
      <c r="C137" s="7" t="s">
        <v>138</v>
      </c>
      <c r="D137" s="8" t="s">
        <v>147</v>
      </c>
      <c r="E137" s="7" t="s">
        <v>23</v>
      </c>
      <c r="F137" s="7" t="s">
        <v>24</v>
      </c>
      <c r="G137" s="8" t="s">
        <v>777</v>
      </c>
      <c r="H137" s="7" t="s">
        <v>241</v>
      </c>
      <c r="I137" s="11" t="s">
        <v>130</v>
      </c>
      <c r="J137" s="7" t="s">
        <v>778</v>
      </c>
      <c r="K137" s="7" t="s">
        <v>779</v>
      </c>
      <c r="L137" s="7" t="s">
        <v>775</v>
      </c>
      <c r="M137" s="12" t="s">
        <v>31</v>
      </c>
      <c r="N137" s="7" t="s">
        <v>32</v>
      </c>
      <c r="O137" s="7" t="s">
        <v>197</v>
      </c>
      <c r="P137" s="7" t="s">
        <v>34</v>
      </c>
      <c r="Q137" s="7" t="s">
        <v>1839</v>
      </c>
      <c r="R137" s="7" t="s">
        <v>35</v>
      </c>
      <c r="S137" s="8" t="s">
        <v>780</v>
      </c>
      <c r="T137" s="7" t="s">
        <v>37</v>
      </c>
    </row>
    <row r="138" customHeight="1" spans="1:20">
      <c r="A138" s="7">
        <v>745</v>
      </c>
      <c r="B138" s="7" t="s">
        <v>771</v>
      </c>
      <c r="C138" s="7" t="s">
        <v>138</v>
      </c>
      <c r="D138" s="8" t="s">
        <v>152</v>
      </c>
      <c r="E138" s="7" t="s">
        <v>23</v>
      </c>
      <c r="F138" s="7" t="s">
        <v>24</v>
      </c>
      <c r="G138" s="8" t="s">
        <v>777</v>
      </c>
      <c r="H138" s="7" t="s">
        <v>241</v>
      </c>
      <c r="I138" s="11" t="s">
        <v>130</v>
      </c>
      <c r="J138" s="7" t="s">
        <v>781</v>
      </c>
      <c r="K138" s="7" t="s">
        <v>782</v>
      </c>
      <c r="L138" s="7" t="s">
        <v>775</v>
      </c>
      <c r="M138" s="12" t="s">
        <v>31</v>
      </c>
      <c r="N138" s="7" t="s">
        <v>32</v>
      </c>
      <c r="O138" s="7" t="s">
        <v>197</v>
      </c>
      <c r="P138" s="7" t="s">
        <v>34</v>
      </c>
      <c r="Q138" s="7" t="s">
        <v>1839</v>
      </c>
      <c r="R138" s="7" t="s">
        <v>35</v>
      </c>
      <c r="S138" s="8" t="s">
        <v>783</v>
      </c>
      <c r="T138" s="7" t="s">
        <v>37</v>
      </c>
    </row>
    <row r="139" customHeight="1" spans="1:20">
      <c r="A139" s="7">
        <v>745</v>
      </c>
      <c r="B139" s="7" t="s">
        <v>771</v>
      </c>
      <c r="C139" s="7" t="s">
        <v>138</v>
      </c>
      <c r="D139" s="8" t="s">
        <v>156</v>
      </c>
      <c r="E139" s="7" t="s">
        <v>23</v>
      </c>
      <c r="F139" s="7" t="s">
        <v>24</v>
      </c>
      <c r="G139" s="8" t="s">
        <v>784</v>
      </c>
      <c r="H139" s="7" t="s">
        <v>241</v>
      </c>
      <c r="I139" s="11" t="s">
        <v>130</v>
      </c>
      <c r="J139" s="7" t="s">
        <v>785</v>
      </c>
      <c r="K139" s="7" t="s">
        <v>786</v>
      </c>
      <c r="L139" s="7" t="s">
        <v>775</v>
      </c>
      <c r="M139" s="12" t="s">
        <v>31</v>
      </c>
      <c r="N139" s="7" t="s">
        <v>32</v>
      </c>
      <c r="O139" s="7" t="s">
        <v>197</v>
      </c>
      <c r="P139" s="7" t="s">
        <v>34</v>
      </c>
      <c r="Q139" s="7" t="s">
        <v>1839</v>
      </c>
      <c r="R139" s="7" t="s">
        <v>35</v>
      </c>
      <c r="S139" s="8" t="s">
        <v>787</v>
      </c>
      <c r="T139" s="7" t="s">
        <v>37</v>
      </c>
    </row>
    <row r="140" customHeight="1" spans="1:20">
      <c r="A140" s="7">
        <v>745</v>
      </c>
      <c r="B140" s="7" t="s">
        <v>771</v>
      </c>
      <c r="C140" s="7" t="s">
        <v>138</v>
      </c>
      <c r="D140" s="8" t="s">
        <v>161</v>
      </c>
      <c r="E140" s="7" t="s">
        <v>23</v>
      </c>
      <c r="F140" s="7" t="s">
        <v>24</v>
      </c>
      <c r="G140" s="8" t="s">
        <v>784</v>
      </c>
      <c r="H140" s="7" t="s">
        <v>241</v>
      </c>
      <c r="I140" s="11" t="s">
        <v>130</v>
      </c>
      <c r="J140" s="7" t="s">
        <v>788</v>
      </c>
      <c r="K140" s="7" t="s">
        <v>789</v>
      </c>
      <c r="L140" s="7" t="s">
        <v>775</v>
      </c>
      <c r="M140" s="12" t="s">
        <v>31</v>
      </c>
      <c r="N140" s="7" t="s">
        <v>32</v>
      </c>
      <c r="O140" s="7" t="s">
        <v>197</v>
      </c>
      <c r="P140" s="7" t="s">
        <v>34</v>
      </c>
      <c r="Q140" s="7" t="s">
        <v>1839</v>
      </c>
      <c r="R140" s="7" t="s">
        <v>35</v>
      </c>
      <c r="S140" s="8" t="s">
        <v>790</v>
      </c>
      <c r="T140" s="7" t="s">
        <v>37</v>
      </c>
    </row>
    <row r="141" customHeight="1" spans="1:20">
      <c r="A141" s="7">
        <v>745</v>
      </c>
      <c r="B141" s="7" t="s">
        <v>771</v>
      </c>
      <c r="C141" s="7" t="s">
        <v>138</v>
      </c>
      <c r="D141" s="8" t="s">
        <v>139</v>
      </c>
      <c r="E141" s="7" t="s">
        <v>23</v>
      </c>
      <c r="F141" s="7" t="s">
        <v>24</v>
      </c>
      <c r="G141" s="8" t="s">
        <v>784</v>
      </c>
      <c r="H141" s="7" t="s">
        <v>241</v>
      </c>
      <c r="I141" s="11" t="s">
        <v>130</v>
      </c>
      <c r="J141" s="7" t="s">
        <v>791</v>
      </c>
      <c r="K141" s="7" t="s">
        <v>792</v>
      </c>
      <c r="L141" s="7" t="s">
        <v>775</v>
      </c>
      <c r="M141" s="12" t="s">
        <v>31</v>
      </c>
      <c r="N141" s="7" t="s">
        <v>32</v>
      </c>
      <c r="O141" s="7" t="s">
        <v>197</v>
      </c>
      <c r="P141" s="7" t="s">
        <v>34</v>
      </c>
      <c r="Q141" s="7" t="s">
        <v>1839</v>
      </c>
      <c r="R141" s="7" t="s">
        <v>35</v>
      </c>
      <c r="S141" s="8" t="s">
        <v>793</v>
      </c>
      <c r="T141" s="7" t="s">
        <v>37</v>
      </c>
    </row>
    <row r="142" customHeight="1" spans="1:20">
      <c r="A142" s="7">
        <v>367</v>
      </c>
      <c r="B142" s="7" t="s">
        <v>311</v>
      </c>
      <c r="C142" s="7" t="s">
        <v>21</v>
      </c>
      <c r="D142" s="8" t="s">
        <v>22</v>
      </c>
      <c r="E142" s="7" t="s">
        <v>23</v>
      </c>
      <c r="F142" s="7" t="s">
        <v>24</v>
      </c>
      <c r="G142" s="8" t="s">
        <v>794</v>
      </c>
      <c r="H142" s="7" t="s">
        <v>45</v>
      </c>
      <c r="I142" s="11" t="s">
        <v>46</v>
      </c>
      <c r="J142" s="7" t="s">
        <v>795</v>
      </c>
      <c r="K142" s="7" t="s">
        <v>796</v>
      </c>
      <c r="L142" s="7" t="s">
        <v>315</v>
      </c>
      <c r="M142" s="12" t="s">
        <v>31</v>
      </c>
      <c r="N142" s="7" t="s">
        <v>32</v>
      </c>
      <c r="O142" s="7" t="s">
        <v>33</v>
      </c>
      <c r="P142" s="7" t="s">
        <v>34</v>
      </c>
      <c r="Q142" s="7" t="s">
        <v>1839</v>
      </c>
      <c r="R142" s="7" t="s">
        <v>35</v>
      </c>
      <c r="S142" s="8" t="s">
        <v>797</v>
      </c>
      <c r="T142" s="7" t="s">
        <v>37</v>
      </c>
    </row>
    <row r="143" customHeight="1" spans="1:20">
      <c r="A143" s="7">
        <v>709</v>
      </c>
      <c r="B143" s="7" t="s">
        <v>856</v>
      </c>
      <c r="C143" s="7" t="s">
        <v>138</v>
      </c>
      <c r="D143" s="8" t="s">
        <v>152</v>
      </c>
      <c r="E143" s="7" t="s">
        <v>23</v>
      </c>
      <c r="F143" s="7" t="s">
        <v>24</v>
      </c>
      <c r="G143" s="8" t="s">
        <v>857</v>
      </c>
      <c r="H143" s="7" t="s">
        <v>858</v>
      </c>
      <c r="I143" s="11" t="s">
        <v>859</v>
      </c>
      <c r="J143" s="7" t="s">
        <v>860</v>
      </c>
      <c r="K143" s="7" t="s">
        <v>861</v>
      </c>
      <c r="L143" s="7" t="s">
        <v>862</v>
      </c>
      <c r="M143" s="12" t="s">
        <v>31</v>
      </c>
      <c r="N143" s="7" t="s">
        <v>32</v>
      </c>
      <c r="O143" s="7" t="s">
        <v>863</v>
      </c>
      <c r="P143" s="7" t="s">
        <v>34</v>
      </c>
      <c r="Q143" s="7" t="s">
        <v>1839</v>
      </c>
      <c r="R143" s="7" t="s">
        <v>35</v>
      </c>
      <c r="S143" s="8" t="s">
        <v>864</v>
      </c>
      <c r="T143" s="7" t="s">
        <v>37</v>
      </c>
    </row>
    <row r="144" customHeight="1" spans="1:20">
      <c r="A144" s="7">
        <v>709</v>
      </c>
      <c r="B144" s="7" t="s">
        <v>856</v>
      </c>
      <c r="C144" s="7" t="s">
        <v>138</v>
      </c>
      <c r="D144" s="8" t="s">
        <v>156</v>
      </c>
      <c r="E144" s="7" t="s">
        <v>23</v>
      </c>
      <c r="F144" s="7" t="s">
        <v>24</v>
      </c>
      <c r="G144" s="8" t="s">
        <v>865</v>
      </c>
      <c r="H144" s="7" t="s">
        <v>858</v>
      </c>
      <c r="I144" s="11" t="s">
        <v>859</v>
      </c>
      <c r="J144" s="7" t="s">
        <v>866</v>
      </c>
      <c r="K144" s="7" t="s">
        <v>867</v>
      </c>
      <c r="L144" s="7" t="s">
        <v>862</v>
      </c>
      <c r="M144" s="12" t="s">
        <v>31</v>
      </c>
      <c r="N144" s="7" t="s">
        <v>32</v>
      </c>
      <c r="O144" s="7" t="s">
        <v>863</v>
      </c>
      <c r="P144" s="7" t="s">
        <v>34</v>
      </c>
      <c r="Q144" s="7" t="s">
        <v>1839</v>
      </c>
      <c r="R144" s="7" t="s">
        <v>35</v>
      </c>
      <c r="S144" s="8" t="s">
        <v>868</v>
      </c>
      <c r="T144" s="7" t="s">
        <v>37</v>
      </c>
    </row>
    <row r="145" customHeight="1" spans="1:20">
      <c r="A145" s="7">
        <v>709</v>
      </c>
      <c r="B145" s="7" t="s">
        <v>856</v>
      </c>
      <c r="C145" s="7" t="s">
        <v>138</v>
      </c>
      <c r="D145" s="8" t="s">
        <v>161</v>
      </c>
      <c r="E145" s="7" t="s">
        <v>23</v>
      </c>
      <c r="F145" s="7" t="s">
        <v>24</v>
      </c>
      <c r="G145" s="8" t="s">
        <v>865</v>
      </c>
      <c r="H145" s="7" t="s">
        <v>858</v>
      </c>
      <c r="I145" s="11" t="s">
        <v>859</v>
      </c>
      <c r="J145" s="7" t="s">
        <v>869</v>
      </c>
      <c r="K145" s="7" t="s">
        <v>870</v>
      </c>
      <c r="L145" s="7" t="s">
        <v>862</v>
      </c>
      <c r="M145" s="12" t="s">
        <v>31</v>
      </c>
      <c r="N145" s="7" t="s">
        <v>32</v>
      </c>
      <c r="O145" s="7" t="s">
        <v>863</v>
      </c>
      <c r="P145" s="7" t="s">
        <v>34</v>
      </c>
      <c r="Q145" s="7" t="s">
        <v>1839</v>
      </c>
      <c r="R145" s="7" t="s">
        <v>35</v>
      </c>
      <c r="S145" s="8" t="s">
        <v>871</v>
      </c>
      <c r="T145" s="7" t="s">
        <v>37</v>
      </c>
    </row>
    <row r="146" customHeight="1" spans="1:20">
      <c r="A146" s="7">
        <v>709</v>
      </c>
      <c r="B146" s="7" t="s">
        <v>856</v>
      </c>
      <c r="C146" s="7" t="s">
        <v>138</v>
      </c>
      <c r="D146" s="8" t="s">
        <v>139</v>
      </c>
      <c r="E146" s="7" t="s">
        <v>23</v>
      </c>
      <c r="F146" s="7" t="s">
        <v>24</v>
      </c>
      <c r="G146" s="8" t="s">
        <v>865</v>
      </c>
      <c r="H146" s="7" t="s">
        <v>858</v>
      </c>
      <c r="I146" s="11" t="s">
        <v>859</v>
      </c>
      <c r="J146" s="7" t="s">
        <v>872</v>
      </c>
      <c r="K146" s="7" t="s">
        <v>873</v>
      </c>
      <c r="L146" s="7" t="s">
        <v>862</v>
      </c>
      <c r="M146" s="12" t="s">
        <v>31</v>
      </c>
      <c r="N146" s="7" t="s">
        <v>32</v>
      </c>
      <c r="O146" s="7" t="s">
        <v>863</v>
      </c>
      <c r="P146" s="7" t="s">
        <v>34</v>
      </c>
      <c r="Q146" s="7" t="s">
        <v>1839</v>
      </c>
      <c r="R146" s="7" t="s">
        <v>35</v>
      </c>
      <c r="S146" s="8" t="s">
        <v>874</v>
      </c>
      <c r="T146" s="7" t="s">
        <v>37</v>
      </c>
    </row>
    <row r="147" customHeight="1" spans="1:20">
      <c r="A147" s="7">
        <v>117184</v>
      </c>
      <c r="B147" s="7" t="s">
        <v>875</v>
      </c>
      <c r="C147" s="7" t="s">
        <v>692</v>
      </c>
      <c r="D147" s="8" t="s">
        <v>693</v>
      </c>
      <c r="E147" s="7" t="s">
        <v>23</v>
      </c>
      <c r="F147" s="7" t="s">
        <v>461</v>
      </c>
      <c r="G147" s="8" t="s">
        <v>876</v>
      </c>
      <c r="H147" s="7" t="s">
        <v>46</v>
      </c>
      <c r="I147" s="11" t="s">
        <v>53</v>
      </c>
      <c r="J147" s="7" t="s">
        <v>463</v>
      </c>
      <c r="K147" s="7" t="s">
        <v>463</v>
      </c>
      <c r="L147" s="7" t="s">
        <v>877</v>
      </c>
      <c r="M147" s="12" t="s">
        <v>31</v>
      </c>
      <c r="N147" s="7" t="s">
        <v>877</v>
      </c>
      <c r="O147" s="7" t="s">
        <v>726</v>
      </c>
      <c r="P147" s="7" t="s">
        <v>1839</v>
      </c>
      <c r="Q147" s="7" t="s">
        <v>34</v>
      </c>
      <c r="R147" s="7" t="s">
        <v>60</v>
      </c>
      <c r="S147" s="8" t="s">
        <v>878</v>
      </c>
      <c r="T147" s="7" t="s">
        <v>37</v>
      </c>
    </row>
    <row r="148" customHeight="1" spans="1:20">
      <c r="A148" s="7">
        <v>117184</v>
      </c>
      <c r="B148" s="7" t="s">
        <v>875</v>
      </c>
      <c r="C148" s="7" t="s">
        <v>683</v>
      </c>
      <c r="D148" s="8" t="s">
        <v>879</v>
      </c>
      <c r="E148" s="7" t="s">
        <v>23</v>
      </c>
      <c r="F148" s="7" t="s">
        <v>461</v>
      </c>
      <c r="G148" s="8" t="s">
        <v>876</v>
      </c>
      <c r="H148" s="7" t="s">
        <v>46</v>
      </c>
      <c r="I148" s="11" t="s">
        <v>53</v>
      </c>
      <c r="J148" s="7" t="s">
        <v>463</v>
      </c>
      <c r="K148" s="7" t="s">
        <v>463</v>
      </c>
      <c r="L148" s="7" t="s">
        <v>877</v>
      </c>
      <c r="M148" s="12" t="s">
        <v>31</v>
      </c>
      <c r="N148" s="7" t="s">
        <v>877</v>
      </c>
      <c r="O148" s="7" t="s">
        <v>726</v>
      </c>
      <c r="P148" s="7" t="s">
        <v>1839</v>
      </c>
      <c r="Q148" s="7" t="s">
        <v>34</v>
      </c>
      <c r="R148" s="7" t="s">
        <v>60</v>
      </c>
      <c r="S148" s="8" t="s">
        <v>878</v>
      </c>
      <c r="T148" s="7" t="s">
        <v>37</v>
      </c>
    </row>
    <row r="149" customHeight="1" spans="1:20">
      <c r="A149" s="7">
        <v>117184</v>
      </c>
      <c r="B149" s="7" t="s">
        <v>875</v>
      </c>
      <c r="C149" s="7" t="s">
        <v>880</v>
      </c>
      <c r="D149" s="8" t="s">
        <v>881</v>
      </c>
      <c r="E149" s="7" t="s">
        <v>23</v>
      </c>
      <c r="F149" s="7" t="s">
        <v>461</v>
      </c>
      <c r="G149" s="8" t="s">
        <v>876</v>
      </c>
      <c r="H149" s="7" t="s">
        <v>46</v>
      </c>
      <c r="I149" s="11" t="s">
        <v>53</v>
      </c>
      <c r="J149" s="7" t="s">
        <v>463</v>
      </c>
      <c r="K149" s="7" t="s">
        <v>463</v>
      </c>
      <c r="L149" s="7" t="s">
        <v>877</v>
      </c>
      <c r="M149" s="12" t="s">
        <v>31</v>
      </c>
      <c r="N149" s="7" t="s">
        <v>877</v>
      </c>
      <c r="O149" s="7" t="s">
        <v>726</v>
      </c>
      <c r="P149" s="7" t="s">
        <v>34</v>
      </c>
      <c r="Q149" s="7" t="s">
        <v>34</v>
      </c>
      <c r="R149" s="7" t="s">
        <v>60</v>
      </c>
      <c r="S149" s="8" t="s">
        <v>882</v>
      </c>
      <c r="T149" s="7" t="s">
        <v>37</v>
      </c>
    </row>
    <row r="150" customHeight="1" spans="1:20">
      <c r="A150" s="7">
        <v>54</v>
      </c>
      <c r="B150" s="7" t="s">
        <v>317</v>
      </c>
      <c r="C150" s="7" t="s">
        <v>21</v>
      </c>
      <c r="D150" s="8" t="s">
        <v>22</v>
      </c>
      <c r="E150" s="7" t="s">
        <v>23</v>
      </c>
      <c r="F150" s="7" t="s">
        <v>24</v>
      </c>
      <c r="G150" s="8" t="s">
        <v>883</v>
      </c>
      <c r="H150" s="7" t="s">
        <v>45</v>
      </c>
      <c r="I150" s="11" t="s">
        <v>46</v>
      </c>
      <c r="J150" s="7" t="s">
        <v>884</v>
      </c>
      <c r="K150" s="7" t="s">
        <v>885</v>
      </c>
      <c r="L150" s="7" t="s">
        <v>321</v>
      </c>
      <c r="M150" s="12" t="s">
        <v>31</v>
      </c>
      <c r="N150" s="7" t="s">
        <v>32</v>
      </c>
      <c r="O150" s="7" t="s">
        <v>33</v>
      </c>
      <c r="P150" s="7" t="s">
        <v>34</v>
      </c>
      <c r="Q150" s="7" t="s">
        <v>34</v>
      </c>
      <c r="R150" s="7" t="s">
        <v>35</v>
      </c>
      <c r="S150" s="8" t="s">
        <v>886</v>
      </c>
      <c r="T150" s="7" t="s">
        <v>37</v>
      </c>
    </row>
    <row r="151" customHeight="1" spans="1:20">
      <c r="A151" s="7">
        <v>52</v>
      </c>
      <c r="B151" s="7" t="s">
        <v>121</v>
      </c>
      <c r="C151" s="7" t="s">
        <v>21</v>
      </c>
      <c r="D151" s="8" t="s">
        <v>22</v>
      </c>
      <c r="E151" s="7" t="s">
        <v>23</v>
      </c>
      <c r="F151" s="7" t="s">
        <v>24</v>
      </c>
      <c r="G151" s="8" t="s">
        <v>887</v>
      </c>
      <c r="H151" s="7" t="s">
        <v>45</v>
      </c>
      <c r="I151" s="11" t="s">
        <v>46</v>
      </c>
      <c r="J151" s="7" t="s">
        <v>888</v>
      </c>
      <c r="K151" s="7" t="s">
        <v>889</v>
      </c>
      <c r="L151" s="7" t="s">
        <v>125</v>
      </c>
      <c r="M151" s="12" t="s">
        <v>31</v>
      </c>
      <c r="N151" s="7" t="s">
        <v>32</v>
      </c>
      <c r="O151" s="7" t="s">
        <v>33</v>
      </c>
      <c r="P151" s="7" t="s">
        <v>34</v>
      </c>
      <c r="Q151" s="7" t="s">
        <v>1839</v>
      </c>
      <c r="R151" s="7" t="s">
        <v>35</v>
      </c>
      <c r="S151" s="8" t="s">
        <v>890</v>
      </c>
      <c r="T151" s="7" t="s">
        <v>37</v>
      </c>
    </row>
    <row r="152" customHeight="1" spans="1:20">
      <c r="A152" s="7">
        <v>710</v>
      </c>
      <c r="B152" s="7" t="s">
        <v>137</v>
      </c>
      <c r="C152" s="7" t="s">
        <v>138</v>
      </c>
      <c r="D152" s="8" t="s">
        <v>257</v>
      </c>
      <c r="E152" s="7" t="s">
        <v>23</v>
      </c>
      <c r="F152" s="7" t="s">
        <v>24</v>
      </c>
      <c r="G152" s="8" t="s">
        <v>891</v>
      </c>
      <c r="H152" s="7" t="s">
        <v>539</v>
      </c>
      <c r="I152" s="11" t="s">
        <v>540</v>
      </c>
      <c r="J152" s="7" t="s">
        <v>892</v>
      </c>
      <c r="K152" s="7" t="s">
        <v>893</v>
      </c>
      <c r="L152" s="7" t="s">
        <v>144</v>
      </c>
      <c r="M152" s="12" t="s">
        <v>31</v>
      </c>
      <c r="N152" s="7" t="s">
        <v>32</v>
      </c>
      <c r="O152" s="7" t="s">
        <v>145</v>
      </c>
      <c r="P152" s="7" t="s">
        <v>34</v>
      </c>
      <c r="Q152" s="7" t="s">
        <v>34</v>
      </c>
      <c r="R152" s="7" t="s">
        <v>35</v>
      </c>
      <c r="S152" s="8" t="s">
        <v>894</v>
      </c>
      <c r="T152" s="7" t="s">
        <v>37</v>
      </c>
    </row>
    <row r="153" customHeight="1" spans="1:20">
      <c r="A153" s="7">
        <v>106569</v>
      </c>
      <c r="B153" s="7" t="s">
        <v>353</v>
      </c>
      <c r="C153" s="7" t="s">
        <v>138</v>
      </c>
      <c r="D153" s="8" t="s">
        <v>257</v>
      </c>
      <c r="E153" s="7" t="s">
        <v>23</v>
      </c>
      <c r="F153" s="7" t="s">
        <v>24</v>
      </c>
      <c r="G153" s="8" t="s">
        <v>895</v>
      </c>
      <c r="H153" s="7" t="s">
        <v>551</v>
      </c>
      <c r="I153" s="11" t="s">
        <v>534</v>
      </c>
      <c r="J153" s="7" t="s">
        <v>896</v>
      </c>
      <c r="K153" s="7" t="s">
        <v>897</v>
      </c>
      <c r="L153" s="7" t="s">
        <v>357</v>
      </c>
      <c r="M153" s="12" t="s">
        <v>31</v>
      </c>
      <c r="N153" s="7" t="s">
        <v>32</v>
      </c>
      <c r="O153" s="7" t="s">
        <v>197</v>
      </c>
      <c r="P153" s="7" t="s">
        <v>34</v>
      </c>
      <c r="Q153" s="7" t="s">
        <v>1839</v>
      </c>
      <c r="R153" s="7" t="s">
        <v>35</v>
      </c>
      <c r="S153" s="8" t="s">
        <v>898</v>
      </c>
      <c r="T153" s="7" t="s">
        <v>37</v>
      </c>
    </row>
    <row r="154" customHeight="1" spans="1:20">
      <c r="A154" s="7">
        <v>105267</v>
      </c>
      <c r="B154" s="7" t="s">
        <v>442</v>
      </c>
      <c r="C154" s="7" t="s">
        <v>138</v>
      </c>
      <c r="D154" s="8" t="s">
        <v>147</v>
      </c>
      <c r="E154" s="7" t="s">
        <v>23</v>
      </c>
      <c r="F154" s="7" t="s">
        <v>24</v>
      </c>
      <c r="G154" s="8" t="s">
        <v>899</v>
      </c>
      <c r="H154" s="7" t="s">
        <v>551</v>
      </c>
      <c r="I154" s="11" t="s">
        <v>534</v>
      </c>
      <c r="J154" s="7" t="s">
        <v>900</v>
      </c>
      <c r="K154" s="7" t="s">
        <v>901</v>
      </c>
      <c r="L154" s="7" t="s">
        <v>244</v>
      </c>
      <c r="M154" s="12" t="s">
        <v>31</v>
      </c>
      <c r="N154" s="7" t="s">
        <v>32</v>
      </c>
      <c r="O154" s="7" t="s">
        <v>197</v>
      </c>
      <c r="P154" s="7" t="s">
        <v>34</v>
      </c>
      <c r="Q154" s="7" t="s">
        <v>1839</v>
      </c>
      <c r="R154" s="7" t="s">
        <v>35</v>
      </c>
      <c r="S154" s="8" t="s">
        <v>902</v>
      </c>
      <c r="T154" s="7" t="s">
        <v>37</v>
      </c>
    </row>
    <row r="155" customHeight="1" spans="1:20">
      <c r="A155" s="7">
        <v>105267</v>
      </c>
      <c r="B155" s="7" t="s">
        <v>442</v>
      </c>
      <c r="C155" s="7" t="s">
        <v>138</v>
      </c>
      <c r="D155" s="8" t="s">
        <v>152</v>
      </c>
      <c r="E155" s="7" t="s">
        <v>23</v>
      </c>
      <c r="F155" s="7" t="s">
        <v>24</v>
      </c>
      <c r="G155" s="8" t="s">
        <v>899</v>
      </c>
      <c r="H155" s="7" t="s">
        <v>551</v>
      </c>
      <c r="I155" s="11" t="s">
        <v>534</v>
      </c>
      <c r="J155" s="7" t="s">
        <v>903</v>
      </c>
      <c r="K155" s="7" t="s">
        <v>904</v>
      </c>
      <c r="L155" s="7" t="s">
        <v>244</v>
      </c>
      <c r="M155" s="12" t="s">
        <v>31</v>
      </c>
      <c r="N155" s="7" t="s">
        <v>32</v>
      </c>
      <c r="O155" s="7" t="s">
        <v>197</v>
      </c>
      <c r="P155" s="7" t="s">
        <v>34</v>
      </c>
      <c r="Q155" s="7" t="s">
        <v>1839</v>
      </c>
      <c r="R155" s="7" t="s">
        <v>35</v>
      </c>
      <c r="S155" s="8" t="s">
        <v>905</v>
      </c>
      <c r="T155" s="7" t="s">
        <v>37</v>
      </c>
    </row>
    <row r="156" customHeight="1" spans="1:20">
      <c r="A156" s="7">
        <v>105267</v>
      </c>
      <c r="B156" s="7" t="s">
        <v>442</v>
      </c>
      <c r="C156" s="7" t="s">
        <v>138</v>
      </c>
      <c r="D156" s="8" t="s">
        <v>257</v>
      </c>
      <c r="E156" s="7" t="s">
        <v>23</v>
      </c>
      <c r="F156" s="7" t="s">
        <v>24</v>
      </c>
      <c r="G156" s="8" t="s">
        <v>906</v>
      </c>
      <c r="H156" s="7" t="s">
        <v>551</v>
      </c>
      <c r="I156" s="11" t="s">
        <v>534</v>
      </c>
      <c r="J156" s="7" t="s">
        <v>907</v>
      </c>
      <c r="K156" s="7" t="s">
        <v>908</v>
      </c>
      <c r="L156" s="7" t="s">
        <v>244</v>
      </c>
      <c r="M156" s="12" t="s">
        <v>31</v>
      </c>
      <c r="N156" s="7" t="s">
        <v>32</v>
      </c>
      <c r="O156" s="7" t="s">
        <v>197</v>
      </c>
      <c r="P156" s="7" t="s">
        <v>34</v>
      </c>
      <c r="Q156" s="7" t="s">
        <v>1839</v>
      </c>
      <c r="R156" s="7" t="s">
        <v>35</v>
      </c>
      <c r="S156" s="8" t="s">
        <v>909</v>
      </c>
      <c r="T156" s="7" t="s">
        <v>37</v>
      </c>
    </row>
    <row r="157" customHeight="1" spans="1:20">
      <c r="A157" s="7">
        <v>105267</v>
      </c>
      <c r="B157" s="7" t="s">
        <v>442</v>
      </c>
      <c r="C157" s="7" t="s">
        <v>138</v>
      </c>
      <c r="D157" s="8" t="s">
        <v>156</v>
      </c>
      <c r="E157" s="7" t="s">
        <v>23</v>
      </c>
      <c r="F157" s="7" t="s">
        <v>24</v>
      </c>
      <c r="G157" s="8" t="s">
        <v>910</v>
      </c>
      <c r="H157" s="7" t="s">
        <v>551</v>
      </c>
      <c r="I157" s="11" t="s">
        <v>534</v>
      </c>
      <c r="J157" s="7" t="s">
        <v>911</v>
      </c>
      <c r="K157" s="7" t="s">
        <v>912</v>
      </c>
      <c r="L157" s="7" t="s">
        <v>244</v>
      </c>
      <c r="M157" s="12" t="s">
        <v>31</v>
      </c>
      <c r="N157" s="7" t="s">
        <v>32</v>
      </c>
      <c r="O157" s="7" t="s">
        <v>197</v>
      </c>
      <c r="P157" s="7" t="s">
        <v>34</v>
      </c>
      <c r="Q157" s="7" t="s">
        <v>1839</v>
      </c>
      <c r="R157" s="7" t="s">
        <v>35</v>
      </c>
      <c r="S157" s="8" t="s">
        <v>913</v>
      </c>
      <c r="T157" s="7" t="s">
        <v>37</v>
      </c>
    </row>
    <row r="158" customHeight="1" spans="1:20">
      <c r="A158" s="7">
        <v>105267</v>
      </c>
      <c r="B158" s="7" t="s">
        <v>442</v>
      </c>
      <c r="C158" s="7" t="s">
        <v>138</v>
      </c>
      <c r="D158" s="8" t="s">
        <v>161</v>
      </c>
      <c r="E158" s="7" t="s">
        <v>23</v>
      </c>
      <c r="F158" s="7" t="s">
        <v>24</v>
      </c>
      <c r="G158" s="8" t="s">
        <v>910</v>
      </c>
      <c r="H158" s="7" t="s">
        <v>551</v>
      </c>
      <c r="I158" s="11" t="s">
        <v>534</v>
      </c>
      <c r="J158" s="7" t="s">
        <v>914</v>
      </c>
      <c r="K158" s="7" t="s">
        <v>915</v>
      </c>
      <c r="L158" s="7" t="s">
        <v>244</v>
      </c>
      <c r="M158" s="12" t="s">
        <v>31</v>
      </c>
      <c r="N158" s="7" t="s">
        <v>32</v>
      </c>
      <c r="O158" s="7" t="s">
        <v>197</v>
      </c>
      <c r="P158" s="7" t="s">
        <v>34</v>
      </c>
      <c r="Q158" s="7" t="s">
        <v>1839</v>
      </c>
      <c r="R158" s="7" t="s">
        <v>35</v>
      </c>
      <c r="S158" s="8" t="s">
        <v>916</v>
      </c>
      <c r="T158" s="7" t="s">
        <v>37</v>
      </c>
    </row>
    <row r="159" customHeight="1" spans="1:20">
      <c r="A159" s="7">
        <v>105267</v>
      </c>
      <c r="B159" s="7" t="s">
        <v>442</v>
      </c>
      <c r="C159" s="7" t="s">
        <v>138</v>
      </c>
      <c r="D159" s="8" t="s">
        <v>139</v>
      </c>
      <c r="E159" s="7" t="s">
        <v>23</v>
      </c>
      <c r="F159" s="7" t="s">
        <v>24</v>
      </c>
      <c r="G159" s="8" t="s">
        <v>910</v>
      </c>
      <c r="H159" s="7" t="s">
        <v>551</v>
      </c>
      <c r="I159" s="11" t="s">
        <v>534</v>
      </c>
      <c r="J159" s="7" t="s">
        <v>917</v>
      </c>
      <c r="K159" s="7" t="s">
        <v>918</v>
      </c>
      <c r="L159" s="7" t="s">
        <v>244</v>
      </c>
      <c r="M159" s="12" t="s">
        <v>31</v>
      </c>
      <c r="N159" s="7" t="s">
        <v>32</v>
      </c>
      <c r="O159" s="7" t="s">
        <v>197</v>
      </c>
      <c r="P159" s="7" t="s">
        <v>34</v>
      </c>
      <c r="Q159" s="7" t="s">
        <v>1839</v>
      </c>
      <c r="R159" s="7" t="s">
        <v>35</v>
      </c>
      <c r="S159" s="8" t="s">
        <v>919</v>
      </c>
      <c r="T159" s="7" t="s">
        <v>37</v>
      </c>
    </row>
    <row r="160" customHeight="1" spans="1:20">
      <c r="A160" s="7">
        <v>117310</v>
      </c>
      <c r="B160" s="7" t="s">
        <v>454</v>
      </c>
      <c r="C160" s="7" t="s">
        <v>138</v>
      </c>
      <c r="D160" s="8" t="s">
        <v>257</v>
      </c>
      <c r="E160" s="7" t="s">
        <v>23</v>
      </c>
      <c r="F160" s="7" t="s">
        <v>24</v>
      </c>
      <c r="G160" s="8" t="s">
        <v>920</v>
      </c>
      <c r="H160" s="7" t="s">
        <v>551</v>
      </c>
      <c r="I160" s="11" t="s">
        <v>534</v>
      </c>
      <c r="J160" s="7" t="s">
        <v>921</v>
      </c>
      <c r="K160" s="7" t="s">
        <v>922</v>
      </c>
      <c r="L160" s="7" t="s">
        <v>458</v>
      </c>
      <c r="M160" s="12" t="s">
        <v>31</v>
      </c>
      <c r="N160" s="7" t="s">
        <v>32</v>
      </c>
      <c r="O160" s="7" t="s">
        <v>197</v>
      </c>
      <c r="P160" s="7" t="s">
        <v>34</v>
      </c>
      <c r="Q160" s="7" t="s">
        <v>1839</v>
      </c>
      <c r="R160" s="7" t="s">
        <v>35</v>
      </c>
      <c r="S160" s="8" t="s">
        <v>923</v>
      </c>
      <c r="T160" s="7" t="s">
        <v>37</v>
      </c>
    </row>
    <row r="161" customHeight="1" spans="1:20">
      <c r="A161" s="7">
        <v>117310</v>
      </c>
      <c r="B161" s="7" t="s">
        <v>454</v>
      </c>
      <c r="C161" s="7" t="s">
        <v>138</v>
      </c>
      <c r="D161" s="8" t="s">
        <v>152</v>
      </c>
      <c r="E161" s="7" t="s">
        <v>23</v>
      </c>
      <c r="F161" s="7" t="s">
        <v>24</v>
      </c>
      <c r="G161" s="8" t="s">
        <v>924</v>
      </c>
      <c r="H161" s="7" t="s">
        <v>551</v>
      </c>
      <c r="I161" s="11" t="s">
        <v>534</v>
      </c>
      <c r="J161" s="7" t="s">
        <v>925</v>
      </c>
      <c r="K161" s="7" t="s">
        <v>926</v>
      </c>
      <c r="L161" s="7" t="s">
        <v>458</v>
      </c>
      <c r="M161" s="12" t="s">
        <v>31</v>
      </c>
      <c r="N161" s="7" t="s">
        <v>32</v>
      </c>
      <c r="O161" s="7" t="s">
        <v>197</v>
      </c>
      <c r="P161" s="7" t="s">
        <v>34</v>
      </c>
      <c r="Q161" s="7" t="s">
        <v>1839</v>
      </c>
      <c r="R161" s="7" t="s">
        <v>35</v>
      </c>
      <c r="S161" s="8" t="s">
        <v>927</v>
      </c>
      <c r="T161" s="7" t="s">
        <v>37</v>
      </c>
    </row>
    <row r="162" customHeight="1" spans="1:20">
      <c r="A162" s="7">
        <v>117310</v>
      </c>
      <c r="B162" s="7" t="s">
        <v>454</v>
      </c>
      <c r="C162" s="7" t="s">
        <v>138</v>
      </c>
      <c r="D162" s="8" t="s">
        <v>147</v>
      </c>
      <c r="E162" s="7" t="s">
        <v>23</v>
      </c>
      <c r="F162" s="7" t="s">
        <v>24</v>
      </c>
      <c r="G162" s="8" t="s">
        <v>924</v>
      </c>
      <c r="H162" s="7" t="s">
        <v>551</v>
      </c>
      <c r="I162" s="11" t="s">
        <v>534</v>
      </c>
      <c r="J162" s="7" t="s">
        <v>928</v>
      </c>
      <c r="K162" s="7" t="s">
        <v>929</v>
      </c>
      <c r="L162" s="7" t="s">
        <v>458</v>
      </c>
      <c r="M162" s="12" t="s">
        <v>31</v>
      </c>
      <c r="N162" s="7" t="s">
        <v>32</v>
      </c>
      <c r="O162" s="7" t="s">
        <v>197</v>
      </c>
      <c r="P162" s="7" t="s">
        <v>34</v>
      </c>
      <c r="Q162" s="7" t="s">
        <v>1839</v>
      </c>
      <c r="R162" s="7" t="s">
        <v>35</v>
      </c>
      <c r="S162" s="8" t="s">
        <v>930</v>
      </c>
      <c r="T162" s="7" t="s">
        <v>37</v>
      </c>
    </row>
    <row r="163" customHeight="1" spans="1:20">
      <c r="A163" s="7">
        <v>106569</v>
      </c>
      <c r="B163" s="7" t="s">
        <v>353</v>
      </c>
      <c r="C163" s="7" t="s">
        <v>138</v>
      </c>
      <c r="D163" s="8" t="s">
        <v>139</v>
      </c>
      <c r="E163" s="7" t="s">
        <v>23</v>
      </c>
      <c r="F163" s="7" t="s">
        <v>24</v>
      </c>
      <c r="G163" s="8" t="s">
        <v>931</v>
      </c>
      <c r="H163" s="7" t="s">
        <v>551</v>
      </c>
      <c r="I163" s="11" t="s">
        <v>534</v>
      </c>
      <c r="J163" s="7" t="s">
        <v>932</v>
      </c>
      <c r="K163" s="7" t="s">
        <v>933</v>
      </c>
      <c r="L163" s="7" t="s">
        <v>357</v>
      </c>
      <c r="M163" s="12" t="s">
        <v>31</v>
      </c>
      <c r="N163" s="7" t="s">
        <v>32</v>
      </c>
      <c r="O163" s="7" t="s">
        <v>197</v>
      </c>
      <c r="P163" s="7" t="s">
        <v>1839</v>
      </c>
      <c r="Q163" s="7" t="s">
        <v>1839</v>
      </c>
      <c r="R163" s="7" t="s">
        <v>35</v>
      </c>
      <c r="S163" s="8" t="s">
        <v>934</v>
      </c>
      <c r="T163" s="7" t="s">
        <v>37</v>
      </c>
    </row>
    <row r="164" customHeight="1" spans="1:20">
      <c r="A164" s="7">
        <v>106569</v>
      </c>
      <c r="B164" s="7" t="s">
        <v>353</v>
      </c>
      <c r="C164" s="7" t="s">
        <v>138</v>
      </c>
      <c r="D164" s="8" t="s">
        <v>161</v>
      </c>
      <c r="E164" s="7" t="s">
        <v>23</v>
      </c>
      <c r="F164" s="7" t="s">
        <v>24</v>
      </c>
      <c r="G164" s="8" t="s">
        <v>931</v>
      </c>
      <c r="H164" s="7" t="s">
        <v>551</v>
      </c>
      <c r="I164" s="11" t="s">
        <v>534</v>
      </c>
      <c r="J164" s="7" t="s">
        <v>935</v>
      </c>
      <c r="K164" s="7" t="s">
        <v>936</v>
      </c>
      <c r="L164" s="7" t="s">
        <v>357</v>
      </c>
      <c r="M164" s="12" t="s">
        <v>31</v>
      </c>
      <c r="N164" s="7" t="s">
        <v>32</v>
      </c>
      <c r="O164" s="7" t="s">
        <v>197</v>
      </c>
      <c r="P164" s="7" t="s">
        <v>1839</v>
      </c>
      <c r="Q164" s="7" t="s">
        <v>1839</v>
      </c>
      <c r="R164" s="7" t="s">
        <v>35</v>
      </c>
      <c r="S164" s="8" t="s">
        <v>937</v>
      </c>
      <c r="T164" s="7" t="s">
        <v>37</v>
      </c>
    </row>
    <row r="165" customHeight="1" spans="1:20">
      <c r="A165" s="7">
        <v>106569</v>
      </c>
      <c r="B165" s="7" t="s">
        <v>353</v>
      </c>
      <c r="C165" s="7" t="s">
        <v>138</v>
      </c>
      <c r="D165" s="8" t="s">
        <v>156</v>
      </c>
      <c r="E165" s="7" t="s">
        <v>23</v>
      </c>
      <c r="F165" s="7" t="s">
        <v>24</v>
      </c>
      <c r="G165" s="8" t="s">
        <v>931</v>
      </c>
      <c r="H165" s="7" t="s">
        <v>551</v>
      </c>
      <c r="I165" s="11" t="s">
        <v>534</v>
      </c>
      <c r="J165" s="7" t="s">
        <v>938</v>
      </c>
      <c r="K165" s="7" t="s">
        <v>939</v>
      </c>
      <c r="L165" s="7" t="s">
        <v>357</v>
      </c>
      <c r="M165" s="12" t="s">
        <v>31</v>
      </c>
      <c r="N165" s="7" t="s">
        <v>32</v>
      </c>
      <c r="O165" s="7" t="s">
        <v>197</v>
      </c>
      <c r="P165" s="7" t="s">
        <v>1839</v>
      </c>
      <c r="Q165" s="7" t="s">
        <v>1839</v>
      </c>
      <c r="R165" s="7" t="s">
        <v>35</v>
      </c>
      <c r="S165" s="8" t="s">
        <v>940</v>
      </c>
      <c r="T165" s="7" t="s">
        <v>37</v>
      </c>
    </row>
    <row r="166" customHeight="1" spans="1:20">
      <c r="A166" s="7"/>
      <c r="B166" s="7" t="s">
        <v>1016</v>
      </c>
      <c r="C166" s="7" t="s">
        <v>138</v>
      </c>
      <c r="D166" s="8" t="s">
        <v>152</v>
      </c>
      <c r="E166" s="7" t="s">
        <v>23</v>
      </c>
      <c r="F166" s="7" t="s">
        <v>24</v>
      </c>
      <c r="G166" s="8" t="s">
        <v>1017</v>
      </c>
      <c r="H166" s="7" t="s">
        <v>858</v>
      </c>
      <c r="I166" s="11" t="s">
        <v>859</v>
      </c>
      <c r="J166" s="7" t="s">
        <v>1018</v>
      </c>
      <c r="K166" s="7" t="s">
        <v>1019</v>
      </c>
      <c r="L166" s="7" t="s">
        <v>1020</v>
      </c>
      <c r="M166" s="12" t="s">
        <v>31</v>
      </c>
      <c r="N166" s="7" t="s">
        <v>32</v>
      </c>
      <c r="O166" s="7" t="s">
        <v>863</v>
      </c>
      <c r="P166" s="7" t="s">
        <v>34</v>
      </c>
      <c r="Q166" s="7" t="s">
        <v>34</v>
      </c>
      <c r="R166" s="7" t="s">
        <v>35</v>
      </c>
      <c r="S166" s="8" t="s">
        <v>1021</v>
      </c>
      <c r="T166" s="7" t="s">
        <v>37</v>
      </c>
    </row>
    <row r="167" customHeight="1" spans="1:20">
      <c r="A167" s="7"/>
      <c r="B167" s="7" t="s">
        <v>1016</v>
      </c>
      <c r="C167" s="7" t="s">
        <v>138</v>
      </c>
      <c r="D167" s="8" t="s">
        <v>147</v>
      </c>
      <c r="E167" s="7" t="s">
        <v>23</v>
      </c>
      <c r="F167" s="7" t="s">
        <v>24</v>
      </c>
      <c r="G167" s="8" t="s">
        <v>1017</v>
      </c>
      <c r="H167" s="7" t="s">
        <v>858</v>
      </c>
      <c r="I167" s="11" t="s">
        <v>859</v>
      </c>
      <c r="J167" s="7" t="s">
        <v>1022</v>
      </c>
      <c r="K167" s="7" t="s">
        <v>1023</v>
      </c>
      <c r="L167" s="7" t="s">
        <v>1020</v>
      </c>
      <c r="M167" s="12" t="s">
        <v>31</v>
      </c>
      <c r="N167" s="7" t="s">
        <v>32</v>
      </c>
      <c r="O167" s="7" t="s">
        <v>863</v>
      </c>
      <c r="P167" s="7" t="s">
        <v>34</v>
      </c>
      <c r="Q167" s="7" t="s">
        <v>34</v>
      </c>
      <c r="R167" s="7" t="s">
        <v>35</v>
      </c>
      <c r="S167" s="8" t="s">
        <v>1024</v>
      </c>
      <c r="T167" s="7" t="s">
        <v>37</v>
      </c>
    </row>
    <row r="168" customHeight="1" spans="1:20">
      <c r="A168" s="7"/>
      <c r="B168" s="7" t="s">
        <v>1016</v>
      </c>
      <c r="C168" s="7" t="s">
        <v>138</v>
      </c>
      <c r="D168" s="8" t="s">
        <v>174</v>
      </c>
      <c r="E168" s="7" t="s">
        <v>23</v>
      </c>
      <c r="F168" s="7" t="s">
        <v>24</v>
      </c>
      <c r="G168" s="8" t="s">
        <v>1025</v>
      </c>
      <c r="H168" s="7" t="s">
        <v>858</v>
      </c>
      <c r="I168" s="11" t="s">
        <v>859</v>
      </c>
      <c r="J168" s="7" t="s">
        <v>1026</v>
      </c>
      <c r="K168" s="7" t="s">
        <v>1027</v>
      </c>
      <c r="L168" s="7" t="s">
        <v>1020</v>
      </c>
      <c r="M168" s="12" t="s">
        <v>31</v>
      </c>
      <c r="N168" s="7" t="s">
        <v>32</v>
      </c>
      <c r="O168" s="7" t="s">
        <v>863</v>
      </c>
      <c r="P168" s="7" t="s">
        <v>34</v>
      </c>
      <c r="Q168" s="7" t="s">
        <v>34</v>
      </c>
      <c r="R168" s="7" t="s">
        <v>35</v>
      </c>
      <c r="S168" s="8" t="s">
        <v>1028</v>
      </c>
      <c r="T168" s="7" t="s">
        <v>37</v>
      </c>
    </row>
    <row r="169" customHeight="1" spans="1:20">
      <c r="A169" s="7">
        <v>709</v>
      </c>
      <c r="B169" s="7" t="s">
        <v>856</v>
      </c>
      <c r="C169" s="7" t="s">
        <v>138</v>
      </c>
      <c r="D169" s="8" t="s">
        <v>179</v>
      </c>
      <c r="E169" s="7" t="s">
        <v>23</v>
      </c>
      <c r="F169" s="7" t="s">
        <v>24</v>
      </c>
      <c r="G169" s="8" t="s">
        <v>1029</v>
      </c>
      <c r="H169" s="7" t="s">
        <v>858</v>
      </c>
      <c r="I169" s="11" t="s">
        <v>859</v>
      </c>
      <c r="J169" s="7" t="s">
        <v>1030</v>
      </c>
      <c r="K169" s="7" t="s">
        <v>1031</v>
      </c>
      <c r="L169" s="7" t="s">
        <v>862</v>
      </c>
      <c r="M169" s="12" t="s">
        <v>31</v>
      </c>
      <c r="N169" s="7" t="s">
        <v>32</v>
      </c>
      <c r="O169" s="7" t="s">
        <v>863</v>
      </c>
      <c r="P169" s="7" t="s">
        <v>34</v>
      </c>
      <c r="Q169" s="7" t="s">
        <v>1839</v>
      </c>
      <c r="R169" s="7" t="s">
        <v>35</v>
      </c>
      <c r="S169" s="8" t="s">
        <v>1032</v>
      </c>
      <c r="T169" s="7" t="s">
        <v>37</v>
      </c>
    </row>
    <row r="170" customHeight="1" spans="1:20">
      <c r="A170" s="7">
        <v>709</v>
      </c>
      <c r="B170" s="7" t="s">
        <v>856</v>
      </c>
      <c r="C170" s="7" t="s">
        <v>138</v>
      </c>
      <c r="D170" s="8" t="s">
        <v>174</v>
      </c>
      <c r="E170" s="7" t="s">
        <v>23</v>
      </c>
      <c r="F170" s="7" t="s">
        <v>24</v>
      </c>
      <c r="G170" s="8" t="s">
        <v>1029</v>
      </c>
      <c r="H170" s="7" t="s">
        <v>858</v>
      </c>
      <c r="I170" s="11" t="s">
        <v>859</v>
      </c>
      <c r="J170" s="7" t="s">
        <v>1033</v>
      </c>
      <c r="K170" s="7" t="s">
        <v>1034</v>
      </c>
      <c r="L170" s="7" t="s">
        <v>862</v>
      </c>
      <c r="M170" s="12" t="s">
        <v>31</v>
      </c>
      <c r="N170" s="7" t="s">
        <v>32</v>
      </c>
      <c r="O170" s="7" t="s">
        <v>863</v>
      </c>
      <c r="P170" s="7" t="s">
        <v>34</v>
      </c>
      <c r="Q170" s="7" t="s">
        <v>1839</v>
      </c>
      <c r="R170" s="7" t="s">
        <v>35</v>
      </c>
      <c r="S170" s="8" t="s">
        <v>1035</v>
      </c>
      <c r="T170" s="7" t="s">
        <v>37</v>
      </c>
    </row>
    <row r="171" customHeight="1" spans="1:20">
      <c r="A171" s="7">
        <v>709</v>
      </c>
      <c r="B171" s="7" t="s">
        <v>856</v>
      </c>
      <c r="C171" s="7" t="s">
        <v>138</v>
      </c>
      <c r="D171" s="8" t="s">
        <v>183</v>
      </c>
      <c r="E171" s="7" t="s">
        <v>23</v>
      </c>
      <c r="F171" s="7" t="s">
        <v>24</v>
      </c>
      <c r="G171" s="8" t="s">
        <v>1029</v>
      </c>
      <c r="H171" s="7" t="s">
        <v>858</v>
      </c>
      <c r="I171" s="11" t="s">
        <v>859</v>
      </c>
      <c r="J171" s="7" t="s">
        <v>1036</v>
      </c>
      <c r="K171" s="7" t="s">
        <v>1037</v>
      </c>
      <c r="L171" s="7" t="s">
        <v>862</v>
      </c>
      <c r="M171" s="12" t="s">
        <v>31</v>
      </c>
      <c r="N171" s="7" t="s">
        <v>32</v>
      </c>
      <c r="O171" s="7" t="s">
        <v>863</v>
      </c>
      <c r="P171" s="7" t="s">
        <v>34</v>
      </c>
      <c r="Q171" s="7" t="s">
        <v>1839</v>
      </c>
      <c r="R171" s="7" t="s">
        <v>35</v>
      </c>
      <c r="S171" s="8" t="s">
        <v>1038</v>
      </c>
      <c r="T171" s="7" t="s">
        <v>37</v>
      </c>
    </row>
    <row r="172" customHeight="1" spans="1:20">
      <c r="A172" s="7">
        <v>709</v>
      </c>
      <c r="B172" s="7" t="s">
        <v>856</v>
      </c>
      <c r="C172" s="7" t="s">
        <v>21</v>
      </c>
      <c r="D172" s="8" t="s">
        <v>22</v>
      </c>
      <c r="E172" s="7" t="s">
        <v>23</v>
      </c>
      <c r="F172" s="7" t="s">
        <v>24</v>
      </c>
      <c r="G172" s="8" t="s">
        <v>1039</v>
      </c>
      <c r="H172" s="7" t="s">
        <v>858</v>
      </c>
      <c r="I172" s="11" t="s">
        <v>859</v>
      </c>
      <c r="J172" s="7" t="s">
        <v>1040</v>
      </c>
      <c r="K172" s="7" t="s">
        <v>1041</v>
      </c>
      <c r="L172" s="7" t="s">
        <v>862</v>
      </c>
      <c r="M172" s="12" t="s">
        <v>31</v>
      </c>
      <c r="N172" s="7" t="s">
        <v>32</v>
      </c>
      <c r="O172" s="7" t="s">
        <v>863</v>
      </c>
      <c r="P172" s="7" t="s">
        <v>34</v>
      </c>
      <c r="Q172" s="7" t="s">
        <v>1839</v>
      </c>
      <c r="R172" s="7" t="s">
        <v>35</v>
      </c>
      <c r="S172" s="8" t="s">
        <v>1042</v>
      </c>
      <c r="T172" s="7" t="s">
        <v>37</v>
      </c>
    </row>
    <row r="173" customHeight="1" spans="1:20">
      <c r="A173" s="7">
        <v>709</v>
      </c>
      <c r="B173" s="7" t="s">
        <v>856</v>
      </c>
      <c r="C173" s="7" t="s">
        <v>138</v>
      </c>
      <c r="D173" s="8" t="s">
        <v>147</v>
      </c>
      <c r="E173" s="7" t="s">
        <v>23</v>
      </c>
      <c r="F173" s="7" t="s">
        <v>24</v>
      </c>
      <c r="G173" s="8" t="s">
        <v>857</v>
      </c>
      <c r="H173" s="7" t="s">
        <v>858</v>
      </c>
      <c r="I173" s="11" t="s">
        <v>859</v>
      </c>
      <c r="J173" s="7" t="s">
        <v>1043</v>
      </c>
      <c r="K173" s="7" t="s">
        <v>1044</v>
      </c>
      <c r="L173" s="7" t="s">
        <v>862</v>
      </c>
      <c r="M173" s="12" t="s">
        <v>31</v>
      </c>
      <c r="N173" s="7" t="s">
        <v>32</v>
      </c>
      <c r="O173" s="7" t="s">
        <v>863</v>
      </c>
      <c r="P173" s="7" t="s">
        <v>34</v>
      </c>
      <c r="Q173" s="7" t="s">
        <v>1839</v>
      </c>
      <c r="R173" s="7" t="s">
        <v>35</v>
      </c>
      <c r="S173" s="8" t="s">
        <v>1045</v>
      </c>
      <c r="T173" s="7" t="s">
        <v>37</v>
      </c>
    </row>
    <row r="174" customHeight="1" spans="1:20">
      <c r="A174" s="7">
        <v>117491</v>
      </c>
      <c r="B174" s="7" t="s">
        <v>425</v>
      </c>
      <c r="C174" s="7" t="s">
        <v>138</v>
      </c>
      <c r="D174" s="8" t="s">
        <v>152</v>
      </c>
      <c r="E174" s="7" t="s">
        <v>23</v>
      </c>
      <c r="F174" s="7" t="s">
        <v>24</v>
      </c>
      <c r="G174" s="8" t="s">
        <v>1054</v>
      </c>
      <c r="H174" s="7" t="s">
        <v>1000</v>
      </c>
      <c r="I174" s="11" t="s">
        <v>45</v>
      </c>
      <c r="J174" s="7" t="s">
        <v>1055</v>
      </c>
      <c r="K174" s="7" t="s">
        <v>1056</v>
      </c>
      <c r="L174" s="7" t="s">
        <v>429</v>
      </c>
      <c r="M174" s="12" t="s">
        <v>31</v>
      </c>
      <c r="N174" s="7" t="s">
        <v>32</v>
      </c>
      <c r="O174" s="7" t="s">
        <v>197</v>
      </c>
      <c r="P174" s="7" t="s">
        <v>34</v>
      </c>
      <c r="Q174" s="7" t="s">
        <v>1839</v>
      </c>
      <c r="R174" s="7" t="s">
        <v>35</v>
      </c>
      <c r="S174" s="8" t="s">
        <v>1057</v>
      </c>
      <c r="T174" s="7" t="s">
        <v>37</v>
      </c>
    </row>
    <row r="175" customHeight="1" spans="1:20">
      <c r="A175" s="7">
        <v>117491</v>
      </c>
      <c r="B175" s="7" t="s">
        <v>425</v>
      </c>
      <c r="C175" s="7" t="s">
        <v>138</v>
      </c>
      <c r="D175" s="8" t="s">
        <v>147</v>
      </c>
      <c r="E175" s="7" t="s">
        <v>23</v>
      </c>
      <c r="F175" s="7" t="s">
        <v>24</v>
      </c>
      <c r="G175" s="8" t="s">
        <v>1054</v>
      </c>
      <c r="H175" s="7" t="s">
        <v>1000</v>
      </c>
      <c r="I175" s="11" t="s">
        <v>45</v>
      </c>
      <c r="J175" s="7" t="s">
        <v>1058</v>
      </c>
      <c r="K175" s="7" t="s">
        <v>1059</v>
      </c>
      <c r="L175" s="7" t="s">
        <v>429</v>
      </c>
      <c r="M175" s="12" t="s">
        <v>31</v>
      </c>
      <c r="N175" s="7" t="s">
        <v>32</v>
      </c>
      <c r="O175" s="7" t="s">
        <v>197</v>
      </c>
      <c r="P175" s="7" t="s">
        <v>34</v>
      </c>
      <c r="Q175" s="7" t="s">
        <v>1839</v>
      </c>
      <c r="R175" s="7" t="s">
        <v>35</v>
      </c>
      <c r="S175" s="8" t="s">
        <v>1060</v>
      </c>
      <c r="T175" s="7" t="s">
        <v>37</v>
      </c>
    </row>
    <row r="176" customHeight="1" spans="1:20">
      <c r="A176" s="7">
        <v>111219</v>
      </c>
      <c r="B176" s="7" t="s">
        <v>191</v>
      </c>
      <c r="C176" s="7" t="s">
        <v>138</v>
      </c>
      <c r="D176" s="8" t="s">
        <v>152</v>
      </c>
      <c r="E176" s="7" t="s">
        <v>23</v>
      </c>
      <c r="F176" s="7" t="s">
        <v>24</v>
      </c>
      <c r="G176" s="8" t="s">
        <v>1061</v>
      </c>
      <c r="H176" s="7" t="s">
        <v>1000</v>
      </c>
      <c r="I176" s="11" t="s">
        <v>45</v>
      </c>
      <c r="J176" s="7" t="s">
        <v>1062</v>
      </c>
      <c r="K176" s="7" t="s">
        <v>1063</v>
      </c>
      <c r="L176" s="7" t="s">
        <v>196</v>
      </c>
      <c r="M176" s="12" t="s">
        <v>31</v>
      </c>
      <c r="N176" s="7" t="s">
        <v>32</v>
      </c>
      <c r="O176" s="7" t="s">
        <v>197</v>
      </c>
      <c r="P176" s="7" t="s">
        <v>34</v>
      </c>
      <c r="Q176" s="7" t="s">
        <v>34</v>
      </c>
      <c r="R176" s="7" t="s">
        <v>35</v>
      </c>
      <c r="S176" s="8" t="s">
        <v>1064</v>
      </c>
      <c r="T176" s="7" t="s">
        <v>37</v>
      </c>
    </row>
    <row r="177" customHeight="1" spans="1:20">
      <c r="A177" s="7">
        <v>111219</v>
      </c>
      <c r="B177" s="7" t="s">
        <v>191</v>
      </c>
      <c r="C177" s="7" t="s">
        <v>138</v>
      </c>
      <c r="D177" s="8" t="s">
        <v>147</v>
      </c>
      <c r="E177" s="7" t="s">
        <v>23</v>
      </c>
      <c r="F177" s="7" t="s">
        <v>24</v>
      </c>
      <c r="G177" s="8" t="s">
        <v>1061</v>
      </c>
      <c r="H177" s="7" t="s">
        <v>1000</v>
      </c>
      <c r="I177" s="11" t="s">
        <v>45</v>
      </c>
      <c r="J177" s="7" t="s">
        <v>1065</v>
      </c>
      <c r="K177" s="7" t="s">
        <v>1066</v>
      </c>
      <c r="L177" s="7" t="s">
        <v>196</v>
      </c>
      <c r="M177" s="12" t="s">
        <v>31</v>
      </c>
      <c r="N177" s="7" t="s">
        <v>32</v>
      </c>
      <c r="O177" s="7" t="s">
        <v>197</v>
      </c>
      <c r="P177" s="7" t="s">
        <v>34</v>
      </c>
      <c r="Q177" s="7" t="s">
        <v>34</v>
      </c>
      <c r="R177" s="7" t="s">
        <v>35</v>
      </c>
      <c r="S177" s="8" t="s">
        <v>1067</v>
      </c>
      <c r="T177" s="7" t="s">
        <v>37</v>
      </c>
    </row>
    <row r="178" customHeight="1" spans="1:20">
      <c r="A178" s="7"/>
      <c r="B178" s="7" t="s">
        <v>460</v>
      </c>
      <c r="C178" s="7" t="s">
        <v>21</v>
      </c>
      <c r="D178" s="8" t="s">
        <v>22</v>
      </c>
      <c r="E178" s="7" t="s">
        <v>23</v>
      </c>
      <c r="F178" s="7" t="s">
        <v>461</v>
      </c>
      <c r="G178" s="8" t="s">
        <v>1068</v>
      </c>
      <c r="H178" s="7" t="s">
        <v>1000</v>
      </c>
      <c r="I178" s="11" t="s">
        <v>45</v>
      </c>
      <c r="J178" s="7" t="s">
        <v>463</v>
      </c>
      <c r="K178" s="7" t="s">
        <v>463</v>
      </c>
      <c r="L178" s="7" t="s">
        <v>464</v>
      </c>
      <c r="M178" s="12" t="s">
        <v>31</v>
      </c>
      <c r="N178" s="7" t="s">
        <v>464</v>
      </c>
      <c r="O178" s="7" t="s">
        <v>465</v>
      </c>
      <c r="P178" s="7" t="s">
        <v>34</v>
      </c>
      <c r="Q178" s="7" t="s">
        <v>34</v>
      </c>
      <c r="R178" s="7" t="s">
        <v>35</v>
      </c>
      <c r="S178" s="8" t="s">
        <v>1069</v>
      </c>
      <c r="T178" s="7" t="s">
        <v>37</v>
      </c>
    </row>
    <row r="179" customHeight="1" spans="1:20">
      <c r="A179" s="7"/>
      <c r="B179" s="7" t="s">
        <v>460</v>
      </c>
      <c r="C179" s="7" t="s">
        <v>138</v>
      </c>
      <c r="D179" s="8" t="s">
        <v>168</v>
      </c>
      <c r="E179" s="7" t="s">
        <v>23</v>
      </c>
      <c r="F179" s="7" t="s">
        <v>461</v>
      </c>
      <c r="G179" s="8" t="s">
        <v>1070</v>
      </c>
      <c r="H179" s="7" t="s">
        <v>1000</v>
      </c>
      <c r="I179" s="11" t="s">
        <v>45</v>
      </c>
      <c r="J179" s="7" t="s">
        <v>463</v>
      </c>
      <c r="K179" s="7" t="s">
        <v>463</v>
      </c>
      <c r="L179" s="7" t="s">
        <v>464</v>
      </c>
      <c r="M179" s="12" t="s">
        <v>31</v>
      </c>
      <c r="N179" s="7" t="s">
        <v>464</v>
      </c>
      <c r="O179" s="7" t="s">
        <v>465</v>
      </c>
      <c r="P179" s="7" t="s">
        <v>34</v>
      </c>
      <c r="Q179" s="7" t="s">
        <v>34</v>
      </c>
      <c r="R179" s="7" t="s">
        <v>35</v>
      </c>
      <c r="S179" s="8" t="s">
        <v>1071</v>
      </c>
      <c r="T179" s="7" t="s">
        <v>37</v>
      </c>
    </row>
    <row r="180" customHeight="1" spans="1:20">
      <c r="A180" s="7"/>
      <c r="B180" s="7" t="s">
        <v>1016</v>
      </c>
      <c r="C180" s="7" t="s">
        <v>138</v>
      </c>
      <c r="D180" s="8" t="s">
        <v>161</v>
      </c>
      <c r="E180" s="7" t="s">
        <v>23</v>
      </c>
      <c r="F180" s="7" t="s">
        <v>24</v>
      </c>
      <c r="G180" s="8" t="s">
        <v>1072</v>
      </c>
      <c r="H180" s="7" t="s">
        <v>858</v>
      </c>
      <c r="I180" s="11" t="s">
        <v>859</v>
      </c>
      <c r="J180" s="7" t="s">
        <v>1073</v>
      </c>
      <c r="K180" s="7" t="s">
        <v>1074</v>
      </c>
      <c r="L180" s="7" t="s">
        <v>1020</v>
      </c>
      <c r="M180" s="12" t="s">
        <v>31</v>
      </c>
      <c r="N180" s="7" t="s">
        <v>32</v>
      </c>
      <c r="O180" s="7" t="s">
        <v>863</v>
      </c>
      <c r="P180" s="7" t="s">
        <v>34</v>
      </c>
      <c r="Q180" s="7" t="s">
        <v>1839</v>
      </c>
      <c r="R180" s="7" t="s">
        <v>35</v>
      </c>
      <c r="S180" s="8" t="s">
        <v>1075</v>
      </c>
      <c r="T180" s="7" t="s">
        <v>37</v>
      </c>
    </row>
    <row r="181" customHeight="1" spans="1:20">
      <c r="A181" s="7"/>
      <c r="B181" s="7" t="s">
        <v>1016</v>
      </c>
      <c r="C181" s="7" t="s">
        <v>138</v>
      </c>
      <c r="D181" s="8" t="s">
        <v>139</v>
      </c>
      <c r="E181" s="7" t="s">
        <v>23</v>
      </c>
      <c r="F181" s="7" t="s">
        <v>24</v>
      </c>
      <c r="G181" s="8" t="s">
        <v>1072</v>
      </c>
      <c r="H181" s="7" t="s">
        <v>858</v>
      </c>
      <c r="I181" s="11" t="s">
        <v>859</v>
      </c>
      <c r="J181" s="7" t="s">
        <v>1076</v>
      </c>
      <c r="K181" s="7" t="s">
        <v>1077</v>
      </c>
      <c r="L181" s="7" t="s">
        <v>1020</v>
      </c>
      <c r="M181" s="12" t="s">
        <v>31</v>
      </c>
      <c r="N181" s="7" t="s">
        <v>32</v>
      </c>
      <c r="O181" s="7" t="s">
        <v>863</v>
      </c>
      <c r="P181" s="7" t="s">
        <v>34</v>
      </c>
      <c r="Q181" s="7" t="s">
        <v>1839</v>
      </c>
      <c r="R181" s="7" t="s">
        <v>35</v>
      </c>
      <c r="S181" s="8" t="s">
        <v>1078</v>
      </c>
      <c r="T181" s="7" t="s">
        <v>37</v>
      </c>
    </row>
    <row r="182" customHeight="1" spans="1:20">
      <c r="A182" s="7"/>
      <c r="B182" s="7" t="s">
        <v>1016</v>
      </c>
      <c r="C182" s="7" t="s">
        <v>138</v>
      </c>
      <c r="D182" s="8" t="s">
        <v>156</v>
      </c>
      <c r="E182" s="7" t="s">
        <v>23</v>
      </c>
      <c r="F182" s="7" t="s">
        <v>24</v>
      </c>
      <c r="G182" s="8" t="s">
        <v>1072</v>
      </c>
      <c r="H182" s="7" t="s">
        <v>858</v>
      </c>
      <c r="I182" s="11" t="s">
        <v>859</v>
      </c>
      <c r="J182" s="7" t="s">
        <v>1079</v>
      </c>
      <c r="K182" s="7" t="s">
        <v>1080</v>
      </c>
      <c r="L182" s="7" t="s">
        <v>1020</v>
      </c>
      <c r="M182" s="12" t="s">
        <v>31</v>
      </c>
      <c r="N182" s="7" t="s">
        <v>32</v>
      </c>
      <c r="O182" s="7" t="s">
        <v>863</v>
      </c>
      <c r="P182" s="7" t="s">
        <v>34</v>
      </c>
      <c r="Q182" s="7" t="s">
        <v>1839</v>
      </c>
      <c r="R182" s="7" t="s">
        <v>35</v>
      </c>
      <c r="S182" s="8" t="s">
        <v>1081</v>
      </c>
      <c r="T182" s="7" t="s">
        <v>37</v>
      </c>
    </row>
    <row r="183" customHeight="1" spans="1:20">
      <c r="A183" s="7"/>
      <c r="B183" s="7" t="s">
        <v>1016</v>
      </c>
      <c r="C183" s="7" t="s">
        <v>21</v>
      </c>
      <c r="D183" s="8" t="s">
        <v>22</v>
      </c>
      <c r="E183" s="7" t="s">
        <v>23</v>
      </c>
      <c r="F183" s="7" t="s">
        <v>24</v>
      </c>
      <c r="G183" s="8" t="s">
        <v>1082</v>
      </c>
      <c r="H183" s="7" t="s">
        <v>858</v>
      </c>
      <c r="I183" s="11" t="s">
        <v>859</v>
      </c>
      <c r="J183" s="7" t="s">
        <v>1083</v>
      </c>
      <c r="K183" s="7" t="s">
        <v>1084</v>
      </c>
      <c r="L183" s="7" t="s">
        <v>1020</v>
      </c>
      <c r="M183" s="12" t="s">
        <v>31</v>
      </c>
      <c r="N183" s="7" t="s">
        <v>32</v>
      </c>
      <c r="O183" s="7" t="s">
        <v>863</v>
      </c>
      <c r="P183" s="7" t="s">
        <v>34</v>
      </c>
      <c r="Q183" s="7" t="s">
        <v>1839</v>
      </c>
      <c r="R183" s="7" t="s">
        <v>35</v>
      </c>
      <c r="S183" s="8" t="s">
        <v>1085</v>
      </c>
      <c r="T183" s="7" t="s">
        <v>37</v>
      </c>
    </row>
    <row r="184" customHeight="1" spans="1:20">
      <c r="A184" s="7"/>
      <c r="B184" s="7" t="s">
        <v>1016</v>
      </c>
      <c r="C184" s="7" t="s">
        <v>138</v>
      </c>
      <c r="D184" s="8" t="s">
        <v>168</v>
      </c>
      <c r="E184" s="7" t="s">
        <v>23</v>
      </c>
      <c r="F184" s="7" t="s">
        <v>24</v>
      </c>
      <c r="G184" s="8" t="s">
        <v>1086</v>
      </c>
      <c r="H184" s="7" t="s">
        <v>858</v>
      </c>
      <c r="I184" s="11" t="s">
        <v>859</v>
      </c>
      <c r="J184" s="7" t="s">
        <v>1087</v>
      </c>
      <c r="K184" s="7" t="s">
        <v>1088</v>
      </c>
      <c r="L184" s="7" t="s">
        <v>1020</v>
      </c>
      <c r="M184" s="12" t="s">
        <v>31</v>
      </c>
      <c r="N184" s="7" t="s">
        <v>32</v>
      </c>
      <c r="O184" s="7" t="s">
        <v>863</v>
      </c>
      <c r="P184" s="7" t="s">
        <v>34</v>
      </c>
      <c r="Q184" s="7" t="s">
        <v>1839</v>
      </c>
      <c r="R184" s="7" t="s">
        <v>35</v>
      </c>
      <c r="S184" s="8" t="s">
        <v>1089</v>
      </c>
      <c r="T184" s="7" t="s">
        <v>37</v>
      </c>
    </row>
    <row r="185" customHeight="1" spans="1:20">
      <c r="A185" s="7"/>
      <c r="B185" s="7" t="s">
        <v>1016</v>
      </c>
      <c r="C185" s="7" t="s">
        <v>138</v>
      </c>
      <c r="D185" s="8" t="s">
        <v>183</v>
      </c>
      <c r="E185" s="7" t="s">
        <v>23</v>
      </c>
      <c r="F185" s="7" t="s">
        <v>24</v>
      </c>
      <c r="G185" s="8" t="s">
        <v>1025</v>
      </c>
      <c r="H185" s="7" t="s">
        <v>858</v>
      </c>
      <c r="I185" s="11" t="s">
        <v>859</v>
      </c>
      <c r="J185" s="7" t="s">
        <v>1090</v>
      </c>
      <c r="K185" s="7" t="s">
        <v>1091</v>
      </c>
      <c r="L185" s="7" t="s">
        <v>1020</v>
      </c>
      <c r="M185" s="12" t="s">
        <v>31</v>
      </c>
      <c r="N185" s="7" t="s">
        <v>32</v>
      </c>
      <c r="O185" s="7" t="s">
        <v>863</v>
      </c>
      <c r="P185" s="7" t="s">
        <v>34</v>
      </c>
      <c r="Q185" s="7" t="s">
        <v>34</v>
      </c>
      <c r="R185" s="7" t="s">
        <v>35</v>
      </c>
      <c r="S185" s="8" t="s">
        <v>1092</v>
      </c>
      <c r="T185" s="7" t="s">
        <v>37</v>
      </c>
    </row>
    <row r="186" customHeight="1" spans="1:20">
      <c r="A186" s="7"/>
      <c r="B186" s="7" t="s">
        <v>1016</v>
      </c>
      <c r="C186" s="7" t="s">
        <v>138</v>
      </c>
      <c r="D186" s="8" t="s">
        <v>179</v>
      </c>
      <c r="E186" s="7" t="s">
        <v>23</v>
      </c>
      <c r="F186" s="7" t="s">
        <v>24</v>
      </c>
      <c r="G186" s="8" t="s">
        <v>1025</v>
      </c>
      <c r="H186" s="7" t="s">
        <v>858</v>
      </c>
      <c r="I186" s="11" t="s">
        <v>859</v>
      </c>
      <c r="J186" s="7" t="s">
        <v>1093</v>
      </c>
      <c r="K186" s="7" t="s">
        <v>1094</v>
      </c>
      <c r="L186" s="7" t="s">
        <v>1020</v>
      </c>
      <c r="M186" s="12" t="s">
        <v>31</v>
      </c>
      <c r="N186" s="7" t="s">
        <v>32</v>
      </c>
      <c r="O186" s="7" t="s">
        <v>863</v>
      </c>
      <c r="P186" s="7" t="s">
        <v>34</v>
      </c>
      <c r="Q186" s="7" t="s">
        <v>1839</v>
      </c>
      <c r="R186" s="7" t="s">
        <v>35</v>
      </c>
      <c r="S186" s="8" t="s">
        <v>1095</v>
      </c>
      <c r="T186" s="7" t="s">
        <v>37</v>
      </c>
    </row>
    <row r="187" customHeight="1" spans="1:20">
      <c r="A187" s="7">
        <v>311</v>
      </c>
      <c r="B187" s="7" t="s">
        <v>1110</v>
      </c>
      <c r="C187" s="7" t="s">
        <v>138</v>
      </c>
      <c r="D187" s="8" t="s">
        <v>168</v>
      </c>
      <c r="E187" s="7" t="s">
        <v>23</v>
      </c>
      <c r="F187" s="7" t="s">
        <v>24</v>
      </c>
      <c r="G187" s="8" t="s">
        <v>1111</v>
      </c>
      <c r="H187" s="7" t="s">
        <v>858</v>
      </c>
      <c r="I187" s="11" t="s">
        <v>859</v>
      </c>
      <c r="J187" s="7" t="s">
        <v>1112</v>
      </c>
      <c r="K187" s="7" t="s">
        <v>1113</v>
      </c>
      <c r="L187" s="7" t="s">
        <v>1114</v>
      </c>
      <c r="M187" s="12" t="s">
        <v>31</v>
      </c>
      <c r="N187" s="7" t="s">
        <v>32</v>
      </c>
      <c r="O187" s="7" t="s">
        <v>863</v>
      </c>
      <c r="P187" s="7" t="s">
        <v>34</v>
      </c>
      <c r="Q187" s="7" t="s">
        <v>1839</v>
      </c>
      <c r="R187" s="7" t="s">
        <v>35</v>
      </c>
      <c r="S187" s="8" t="s">
        <v>1115</v>
      </c>
      <c r="T187" s="7" t="s">
        <v>37</v>
      </c>
    </row>
    <row r="188" customHeight="1" spans="1:20">
      <c r="A188" s="7">
        <v>311</v>
      </c>
      <c r="B188" s="7" t="s">
        <v>1110</v>
      </c>
      <c r="C188" s="7" t="s">
        <v>138</v>
      </c>
      <c r="D188" s="8" t="s">
        <v>147</v>
      </c>
      <c r="E188" s="7" t="s">
        <v>23</v>
      </c>
      <c r="F188" s="7" t="s">
        <v>24</v>
      </c>
      <c r="G188" s="8" t="s">
        <v>1116</v>
      </c>
      <c r="H188" s="7" t="s">
        <v>858</v>
      </c>
      <c r="I188" s="11" t="s">
        <v>859</v>
      </c>
      <c r="J188" s="7" t="s">
        <v>1117</v>
      </c>
      <c r="K188" s="7" t="s">
        <v>1118</v>
      </c>
      <c r="L188" s="7" t="s">
        <v>1114</v>
      </c>
      <c r="M188" s="12" t="s">
        <v>31</v>
      </c>
      <c r="N188" s="7" t="s">
        <v>32</v>
      </c>
      <c r="O188" s="7" t="s">
        <v>863</v>
      </c>
      <c r="P188" s="7" t="s">
        <v>34</v>
      </c>
      <c r="Q188" s="7" t="s">
        <v>1839</v>
      </c>
      <c r="R188" s="7" t="s">
        <v>35</v>
      </c>
      <c r="S188" s="8" t="s">
        <v>1119</v>
      </c>
      <c r="T188" s="7" t="s">
        <v>37</v>
      </c>
    </row>
    <row r="189" customHeight="1" spans="1:20">
      <c r="A189" s="7">
        <v>311</v>
      </c>
      <c r="B189" s="7" t="s">
        <v>1110</v>
      </c>
      <c r="C189" s="7" t="s">
        <v>138</v>
      </c>
      <c r="D189" s="8" t="s">
        <v>152</v>
      </c>
      <c r="E189" s="7" t="s">
        <v>23</v>
      </c>
      <c r="F189" s="7" t="s">
        <v>24</v>
      </c>
      <c r="G189" s="8" t="s">
        <v>1116</v>
      </c>
      <c r="H189" s="7" t="s">
        <v>858</v>
      </c>
      <c r="I189" s="11" t="s">
        <v>859</v>
      </c>
      <c r="J189" s="7" t="s">
        <v>1120</v>
      </c>
      <c r="K189" s="7" t="s">
        <v>1121</v>
      </c>
      <c r="L189" s="7" t="s">
        <v>1114</v>
      </c>
      <c r="M189" s="12" t="s">
        <v>31</v>
      </c>
      <c r="N189" s="7" t="s">
        <v>32</v>
      </c>
      <c r="O189" s="7" t="s">
        <v>863</v>
      </c>
      <c r="P189" s="7" t="s">
        <v>34</v>
      </c>
      <c r="Q189" s="7" t="s">
        <v>1839</v>
      </c>
      <c r="R189" s="7" t="s">
        <v>35</v>
      </c>
      <c r="S189" s="8" t="s">
        <v>1122</v>
      </c>
      <c r="T189" s="7" t="s">
        <v>37</v>
      </c>
    </row>
    <row r="190" customHeight="1" spans="1:20">
      <c r="A190" s="7">
        <v>311</v>
      </c>
      <c r="B190" s="7" t="s">
        <v>1110</v>
      </c>
      <c r="C190" s="7" t="s">
        <v>138</v>
      </c>
      <c r="D190" s="8" t="s">
        <v>156</v>
      </c>
      <c r="E190" s="7" t="s">
        <v>23</v>
      </c>
      <c r="F190" s="7" t="s">
        <v>24</v>
      </c>
      <c r="G190" s="8" t="s">
        <v>1123</v>
      </c>
      <c r="H190" s="7" t="s">
        <v>858</v>
      </c>
      <c r="I190" s="11" t="s">
        <v>859</v>
      </c>
      <c r="J190" s="7" t="s">
        <v>1124</v>
      </c>
      <c r="K190" s="7" t="s">
        <v>1125</v>
      </c>
      <c r="L190" s="7" t="s">
        <v>1114</v>
      </c>
      <c r="M190" s="12" t="s">
        <v>31</v>
      </c>
      <c r="N190" s="7" t="s">
        <v>32</v>
      </c>
      <c r="O190" s="7" t="s">
        <v>863</v>
      </c>
      <c r="P190" s="7" t="s">
        <v>34</v>
      </c>
      <c r="Q190" s="7" t="s">
        <v>1839</v>
      </c>
      <c r="R190" s="7" t="s">
        <v>35</v>
      </c>
      <c r="S190" s="8" t="s">
        <v>1126</v>
      </c>
      <c r="T190" s="7" t="s">
        <v>37</v>
      </c>
    </row>
    <row r="191" customHeight="1" spans="1:20">
      <c r="A191" s="7">
        <v>311</v>
      </c>
      <c r="B191" s="7" t="s">
        <v>1110</v>
      </c>
      <c r="C191" s="7" t="s">
        <v>138</v>
      </c>
      <c r="D191" s="8" t="s">
        <v>161</v>
      </c>
      <c r="E191" s="7" t="s">
        <v>23</v>
      </c>
      <c r="F191" s="7" t="s">
        <v>24</v>
      </c>
      <c r="G191" s="8" t="s">
        <v>1123</v>
      </c>
      <c r="H191" s="7" t="s">
        <v>858</v>
      </c>
      <c r="I191" s="11" t="s">
        <v>859</v>
      </c>
      <c r="J191" s="7" t="s">
        <v>1127</v>
      </c>
      <c r="K191" s="7" t="s">
        <v>1128</v>
      </c>
      <c r="L191" s="7" t="s">
        <v>1114</v>
      </c>
      <c r="M191" s="12" t="s">
        <v>31</v>
      </c>
      <c r="N191" s="7" t="s">
        <v>32</v>
      </c>
      <c r="O191" s="7" t="s">
        <v>863</v>
      </c>
      <c r="P191" s="7" t="s">
        <v>34</v>
      </c>
      <c r="Q191" s="7" t="s">
        <v>1839</v>
      </c>
      <c r="R191" s="7" t="s">
        <v>35</v>
      </c>
      <c r="S191" s="8" t="s">
        <v>1129</v>
      </c>
      <c r="T191" s="7" t="s">
        <v>37</v>
      </c>
    </row>
    <row r="192" customHeight="1" spans="1:20">
      <c r="A192" s="7">
        <v>311</v>
      </c>
      <c r="B192" s="7" t="s">
        <v>1110</v>
      </c>
      <c r="C192" s="7" t="s">
        <v>138</v>
      </c>
      <c r="D192" s="8" t="s">
        <v>139</v>
      </c>
      <c r="E192" s="7" t="s">
        <v>23</v>
      </c>
      <c r="F192" s="7" t="s">
        <v>24</v>
      </c>
      <c r="G192" s="8" t="s">
        <v>1123</v>
      </c>
      <c r="H192" s="7" t="s">
        <v>858</v>
      </c>
      <c r="I192" s="11" t="s">
        <v>859</v>
      </c>
      <c r="J192" s="7" t="s">
        <v>1130</v>
      </c>
      <c r="K192" s="7" t="s">
        <v>1131</v>
      </c>
      <c r="L192" s="7" t="s">
        <v>1114</v>
      </c>
      <c r="M192" s="12" t="s">
        <v>31</v>
      </c>
      <c r="N192" s="7" t="s">
        <v>32</v>
      </c>
      <c r="O192" s="7" t="s">
        <v>863</v>
      </c>
      <c r="P192" s="7" t="s">
        <v>34</v>
      </c>
      <c r="Q192" s="7" t="s">
        <v>1839</v>
      </c>
      <c r="R192" s="7" t="s">
        <v>35</v>
      </c>
      <c r="S192" s="8" t="s">
        <v>1132</v>
      </c>
      <c r="T192" s="7" t="s">
        <v>37</v>
      </c>
    </row>
    <row r="193" customHeight="1" spans="1:20">
      <c r="A193" s="7">
        <v>311</v>
      </c>
      <c r="B193" s="7" t="s">
        <v>1110</v>
      </c>
      <c r="C193" s="7" t="s">
        <v>21</v>
      </c>
      <c r="D193" s="8" t="s">
        <v>22</v>
      </c>
      <c r="E193" s="7" t="s">
        <v>23</v>
      </c>
      <c r="F193" s="7" t="s">
        <v>24</v>
      </c>
      <c r="G193" s="8" t="s">
        <v>1133</v>
      </c>
      <c r="H193" s="7" t="s">
        <v>858</v>
      </c>
      <c r="I193" s="11" t="s">
        <v>859</v>
      </c>
      <c r="J193" s="7" t="s">
        <v>1134</v>
      </c>
      <c r="K193" s="7" t="s">
        <v>1135</v>
      </c>
      <c r="L193" s="7" t="s">
        <v>1114</v>
      </c>
      <c r="M193" s="12" t="s">
        <v>31</v>
      </c>
      <c r="N193" s="7" t="s">
        <v>32</v>
      </c>
      <c r="O193" s="7" t="s">
        <v>863</v>
      </c>
      <c r="P193" s="7" t="s">
        <v>34</v>
      </c>
      <c r="Q193" s="7" t="s">
        <v>1839</v>
      </c>
      <c r="R193" s="7" t="s">
        <v>35</v>
      </c>
      <c r="S193" s="8" t="s">
        <v>1136</v>
      </c>
      <c r="T193" s="7" t="s">
        <v>37</v>
      </c>
    </row>
    <row r="194" customHeight="1" spans="1:20">
      <c r="A194" s="7">
        <v>730</v>
      </c>
      <c r="B194" s="7" t="s">
        <v>1137</v>
      </c>
      <c r="C194" s="7" t="s">
        <v>21</v>
      </c>
      <c r="D194" s="8" t="s">
        <v>22</v>
      </c>
      <c r="E194" s="7" t="s">
        <v>23</v>
      </c>
      <c r="F194" s="7" t="s">
        <v>24</v>
      </c>
      <c r="G194" s="8" t="s">
        <v>1138</v>
      </c>
      <c r="H194" s="7" t="s">
        <v>858</v>
      </c>
      <c r="I194" s="11" t="s">
        <v>859</v>
      </c>
      <c r="J194" s="7" t="s">
        <v>1139</v>
      </c>
      <c r="K194" s="7" t="s">
        <v>1140</v>
      </c>
      <c r="L194" s="7" t="s">
        <v>1141</v>
      </c>
      <c r="M194" s="12" t="s">
        <v>31</v>
      </c>
      <c r="N194" s="7" t="s">
        <v>32</v>
      </c>
      <c r="O194" s="7" t="s">
        <v>863</v>
      </c>
      <c r="P194" s="7" t="s">
        <v>34</v>
      </c>
      <c r="Q194" s="7" t="s">
        <v>1839</v>
      </c>
      <c r="R194" s="7" t="s">
        <v>35</v>
      </c>
      <c r="S194" s="8" t="s">
        <v>1142</v>
      </c>
      <c r="T194" s="7" t="s">
        <v>37</v>
      </c>
    </row>
    <row r="195" customHeight="1" spans="1:20">
      <c r="A195" s="7">
        <v>730</v>
      </c>
      <c r="B195" s="7" t="s">
        <v>1137</v>
      </c>
      <c r="C195" s="7" t="s">
        <v>138</v>
      </c>
      <c r="D195" s="8" t="s">
        <v>168</v>
      </c>
      <c r="E195" s="7" t="s">
        <v>23</v>
      </c>
      <c r="F195" s="7" t="s">
        <v>24</v>
      </c>
      <c r="G195" s="8" t="s">
        <v>1143</v>
      </c>
      <c r="H195" s="7" t="s">
        <v>858</v>
      </c>
      <c r="I195" s="11" t="s">
        <v>859</v>
      </c>
      <c r="J195" s="7" t="s">
        <v>1144</v>
      </c>
      <c r="K195" s="7" t="s">
        <v>1145</v>
      </c>
      <c r="L195" s="7" t="s">
        <v>1141</v>
      </c>
      <c r="M195" s="12" t="s">
        <v>31</v>
      </c>
      <c r="N195" s="7" t="s">
        <v>32</v>
      </c>
      <c r="O195" s="7" t="s">
        <v>863</v>
      </c>
      <c r="P195" s="7" t="s">
        <v>34</v>
      </c>
      <c r="Q195" s="7" t="s">
        <v>1839</v>
      </c>
      <c r="R195" s="7" t="s">
        <v>35</v>
      </c>
      <c r="S195" s="8" t="s">
        <v>1146</v>
      </c>
      <c r="T195" s="7" t="s">
        <v>37</v>
      </c>
    </row>
    <row r="196" customHeight="1" spans="1:20">
      <c r="A196" s="7">
        <v>730</v>
      </c>
      <c r="B196" s="7" t="s">
        <v>1137</v>
      </c>
      <c r="C196" s="7" t="s">
        <v>138</v>
      </c>
      <c r="D196" s="8" t="s">
        <v>147</v>
      </c>
      <c r="E196" s="7" t="s">
        <v>23</v>
      </c>
      <c r="F196" s="7" t="s">
        <v>24</v>
      </c>
      <c r="G196" s="8" t="s">
        <v>1147</v>
      </c>
      <c r="H196" s="7" t="s">
        <v>858</v>
      </c>
      <c r="I196" s="11" t="s">
        <v>859</v>
      </c>
      <c r="J196" s="7" t="s">
        <v>1148</v>
      </c>
      <c r="K196" s="7" t="s">
        <v>1149</v>
      </c>
      <c r="L196" s="7" t="s">
        <v>1141</v>
      </c>
      <c r="M196" s="12" t="s">
        <v>31</v>
      </c>
      <c r="N196" s="7" t="s">
        <v>32</v>
      </c>
      <c r="O196" s="7" t="s">
        <v>863</v>
      </c>
      <c r="P196" s="7" t="s">
        <v>34</v>
      </c>
      <c r="Q196" s="7" t="s">
        <v>1839</v>
      </c>
      <c r="R196" s="7" t="s">
        <v>35</v>
      </c>
      <c r="S196" s="8" t="s">
        <v>1150</v>
      </c>
      <c r="T196" s="7" t="s">
        <v>37</v>
      </c>
    </row>
    <row r="197" customHeight="1" spans="1:20">
      <c r="A197" s="7">
        <v>730</v>
      </c>
      <c r="B197" s="7" t="s">
        <v>1137</v>
      </c>
      <c r="C197" s="7" t="s">
        <v>138</v>
      </c>
      <c r="D197" s="8" t="s">
        <v>152</v>
      </c>
      <c r="E197" s="7" t="s">
        <v>23</v>
      </c>
      <c r="F197" s="7" t="s">
        <v>24</v>
      </c>
      <c r="G197" s="8" t="s">
        <v>1147</v>
      </c>
      <c r="H197" s="7" t="s">
        <v>858</v>
      </c>
      <c r="I197" s="11" t="s">
        <v>859</v>
      </c>
      <c r="J197" s="7" t="s">
        <v>1151</v>
      </c>
      <c r="K197" s="7" t="s">
        <v>1152</v>
      </c>
      <c r="L197" s="7" t="s">
        <v>1141</v>
      </c>
      <c r="M197" s="12" t="s">
        <v>31</v>
      </c>
      <c r="N197" s="7" t="s">
        <v>32</v>
      </c>
      <c r="O197" s="7" t="s">
        <v>863</v>
      </c>
      <c r="P197" s="7" t="s">
        <v>34</v>
      </c>
      <c r="Q197" s="7" t="s">
        <v>1839</v>
      </c>
      <c r="R197" s="7" t="s">
        <v>35</v>
      </c>
      <c r="S197" s="8" t="s">
        <v>1153</v>
      </c>
      <c r="T197" s="7" t="s">
        <v>37</v>
      </c>
    </row>
    <row r="198" customHeight="1" spans="1:20">
      <c r="A198" s="7">
        <v>730</v>
      </c>
      <c r="B198" s="7" t="s">
        <v>1137</v>
      </c>
      <c r="C198" s="7" t="s">
        <v>138</v>
      </c>
      <c r="D198" s="8" t="s">
        <v>156</v>
      </c>
      <c r="E198" s="7" t="s">
        <v>23</v>
      </c>
      <c r="F198" s="7" t="s">
        <v>24</v>
      </c>
      <c r="G198" s="8" t="s">
        <v>1154</v>
      </c>
      <c r="H198" s="7" t="s">
        <v>858</v>
      </c>
      <c r="I198" s="11" t="s">
        <v>859</v>
      </c>
      <c r="J198" s="7" t="s">
        <v>1155</v>
      </c>
      <c r="K198" s="7" t="s">
        <v>1156</v>
      </c>
      <c r="L198" s="7" t="s">
        <v>1141</v>
      </c>
      <c r="M198" s="12" t="s">
        <v>31</v>
      </c>
      <c r="N198" s="7" t="s">
        <v>32</v>
      </c>
      <c r="O198" s="7" t="s">
        <v>863</v>
      </c>
      <c r="P198" s="7" t="s">
        <v>34</v>
      </c>
      <c r="Q198" s="7" t="s">
        <v>1839</v>
      </c>
      <c r="R198" s="7" t="s">
        <v>35</v>
      </c>
      <c r="S198" s="8" t="s">
        <v>1157</v>
      </c>
      <c r="T198" s="7" t="s">
        <v>37</v>
      </c>
    </row>
    <row r="199" customHeight="1" spans="1:20">
      <c r="A199" s="7">
        <v>730</v>
      </c>
      <c r="B199" s="7" t="s">
        <v>1137</v>
      </c>
      <c r="C199" s="7" t="s">
        <v>138</v>
      </c>
      <c r="D199" s="8" t="s">
        <v>161</v>
      </c>
      <c r="E199" s="7" t="s">
        <v>23</v>
      </c>
      <c r="F199" s="7" t="s">
        <v>24</v>
      </c>
      <c r="G199" s="8" t="s">
        <v>1154</v>
      </c>
      <c r="H199" s="7" t="s">
        <v>858</v>
      </c>
      <c r="I199" s="11" t="s">
        <v>859</v>
      </c>
      <c r="J199" s="7" t="s">
        <v>1158</v>
      </c>
      <c r="K199" s="7" t="s">
        <v>1159</v>
      </c>
      <c r="L199" s="7" t="s">
        <v>1141</v>
      </c>
      <c r="M199" s="12" t="s">
        <v>31</v>
      </c>
      <c r="N199" s="7" t="s">
        <v>32</v>
      </c>
      <c r="O199" s="7" t="s">
        <v>863</v>
      </c>
      <c r="P199" s="7" t="s">
        <v>34</v>
      </c>
      <c r="Q199" s="7" t="s">
        <v>1839</v>
      </c>
      <c r="R199" s="7" t="s">
        <v>35</v>
      </c>
      <c r="S199" s="8" t="s">
        <v>1160</v>
      </c>
      <c r="T199" s="7" t="s">
        <v>37</v>
      </c>
    </row>
    <row r="200" customHeight="1" spans="1:20">
      <c r="A200" s="7">
        <v>730</v>
      </c>
      <c r="B200" s="7" t="s">
        <v>1137</v>
      </c>
      <c r="C200" s="7" t="s">
        <v>138</v>
      </c>
      <c r="D200" s="8" t="s">
        <v>139</v>
      </c>
      <c r="E200" s="7" t="s">
        <v>23</v>
      </c>
      <c r="F200" s="7" t="s">
        <v>24</v>
      </c>
      <c r="G200" s="8" t="s">
        <v>1154</v>
      </c>
      <c r="H200" s="7" t="s">
        <v>858</v>
      </c>
      <c r="I200" s="11" t="s">
        <v>859</v>
      </c>
      <c r="J200" s="7" t="s">
        <v>1161</v>
      </c>
      <c r="K200" s="7" t="s">
        <v>1162</v>
      </c>
      <c r="L200" s="7" t="s">
        <v>1141</v>
      </c>
      <c r="M200" s="12" t="s">
        <v>31</v>
      </c>
      <c r="N200" s="7" t="s">
        <v>32</v>
      </c>
      <c r="O200" s="7" t="s">
        <v>863</v>
      </c>
      <c r="P200" s="7" t="s">
        <v>34</v>
      </c>
      <c r="Q200" s="7" t="s">
        <v>1839</v>
      </c>
      <c r="R200" s="7" t="s">
        <v>35</v>
      </c>
      <c r="S200" s="8" t="s">
        <v>1163</v>
      </c>
      <c r="T200" s="7" t="s">
        <v>37</v>
      </c>
    </row>
    <row r="201" customHeight="1" spans="1:20">
      <c r="A201" s="7">
        <v>709</v>
      </c>
      <c r="B201" s="7" t="s">
        <v>856</v>
      </c>
      <c r="C201" s="7" t="s">
        <v>138</v>
      </c>
      <c r="D201" s="8" t="s">
        <v>168</v>
      </c>
      <c r="E201" s="7" t="s">
        <v>23</v>
      </c>
      <c r="F201" s="7" t="s">
        <v>24</v>
      </c>
      <c r="G201" s="8" t="s">
        <v>1164</v>
      </c>
      <c r="H201" s="7" t="s">
        <v>858</v>
      </c>
      <c r="I201" s="11" t="s">
        <v>859</v>
      </c>
      <c r="J201" s="7" t="s">
        <v>1165</v>
      </c>
      <c r="K201" s="7" t="s">
        <v>1166</v>
      </c>
      <c r="L201" s="7" t="s">
        <v>862</v>
      </c>
      <c r="M201" s="12" t="s">
        <v>31</v>
      </c>
      <c r="N201" s="7" t="s">
        <v>32</v>
      </c>
      <c r="O201" s="7" t="s">
        <v>863</v>
      </c>
      <c r="P201" s="7" t="s">
        <v>34</v>
      </c>
      <c r="Q201" s="7" t="s">
        <v>1839</v>
      </c>
      <c r="R201" s="7" t="s">
        <v>35</v>
      </c>
      <c r="S201" s="8" t="s">
        <v>1167</v>
      </c>
      <c r="T201" s="7" t="s">
        <v>37</v>
      </c>
    </row>
    <row r="202" customHeight="1" spans="1:20">
      <c r="A202" s="7">
        <v>387</v>
      </c>
      <c r="B202" s="7" t="s">
        <v>1168</v>
      </c>
      <c r="C202" s="7" t="s">
        <v>138</v>
      </c>
      <c r="D202" s="8" t="s">
        <v>156</v>
      </c>
      <c r="E202" s="7" t="s">
        <v>23</v>
      </c>
      <c r="F202" s="7" t="s">
        <v>24</v>
      </c>
      <c r="G202" s="8" t="s">
        <v>1169</v>
      </c>
      <c r="H202" s="7" t="s">
        <v>858</v>
      </c>
      <c r="I202" s="11" t="s">
        <v>859</v>
      </c>
      <c r="J202" s="7" t="s">
        <v>1170</v>
      </c>
      <c r="K202" s="7" t="s">
        <v>1171</v>
      </c>
      <c r="L202" s="7" t="s">
        <v>1172</v>
      </c>
      <c r="M202" s="12" t="s">
        <v>31</v>
      </c>
      <c r="N202" s="7" t="s">
        <v>32</v>
      </c>
      <c r="O202" s="7" t="s">
        <v>1173</v>
      </c>
      <c r="P202" s="7" t="s">
        <v>34</v>
      </c>
      <c r="Q202" s="7" t="s">
        <v>34</v>
      </c>
      <c r="R202" s="7" t="s">
        <v>35</v>
      </c>
      <c r="S202" s="8" t="s">
        <v>1174</v>
      </c>
      <c r="T202" s="7" t="s">
        <v>37</v>
      </c>
    </row>
    <row r="203" customHeight="1" spans="1:20">
      <c r="A203" s="7">
        <v>387</v>
      </c>
      <c r="B203" s="7" t="s">
        <v>1168</v>
      </c>
      <c r="C203" s="7" t="s">
        <v>138</v>
      </c>
      <c r="D203" s="8" t="s">
        <v>161</v>
      </c>
      <c r="E203" s="7" t="s">
        <v>23</v>
      </c>
      <c r="F203" s="7" t="s">
        <v>24</v>
      </c>
      <c r="G203" s="8" t="s">
        <v>1169</v>
      </c>
      <c r="H203" s="7" t="s">
        <v>858</v>
      </c>
      <c r="I203" s="11" t="s">
        <v>859</v>
      </c>
      <c r="J203" s="7" t="s">
        <v>1175</v>
      </c>
      <c r="K203" s="7" t="s">
        <v>1176</v>
      </c>
      <c r="L203" s="7" t="s">
        <v>1172</v>
      </c>
      <c r="M203" s="12" t="s">
        <v>31</v>
      </c>
      <c r="N203" s="7" t="s">
        <v>32</v>
      </c>
      <c r="O203" s="7" t="s">
        <v>1173</v>
      </c>
      <c r="P203" s="7" t="s">
        <v>34</v>
      </c>
      <c r="Q203" s="7" t="s">
        <v>34</v>
      </c>
      <c r="R203" s="7" t="s">
        <v>35</v>
      </c>
      <c r="S203" s="8" t="s">
        <v>1177</v>
      </c>
      <c r="T203" s="7" t="s">
        <v>37</v>
      </c>
    </row>
    <row r="204" customHeight="1" spans="1:20">
      <c r="A204" s="7">
        <v>387</v>
      </c>
      <c r="B204" s="7" t="s">
        <v>1168</v>
      </c>
      <c r="C204" s="7" t="s">
        <v>138</v>
      </c>
      <c r="D204" s="8" t="s">
        <v>139</v>
      </c>
      <c r="E204" s="7" t="s">
        <v>23</v>
      </c>
      <c r="F204" s="7" t="s">
        <v>24</v>
      </c>
      <c r="G204" s="8" t="s">
        <v>1169</v>
      </c>
      <c r="H204" s="7" t="s">
        <v>858</v>
      </c>
      <c r="I204" s="11" t="s">
        <v>859</v>
      </c>
      <c r="J204" s="7" t="s">
        <v>1178</v>
      </c>
      <c r="K204" s="7" t="s">
        <v>1179</v>
      </c>
      <c r="L204" s="7" t="s">
        <v>1172</v>
      </c>
      <c r="M204" s="12" t="s">
        <v>31</v>
      </c>
      <c r="N204" s="7" t="s">
        <v>32</v>
      </c>
      <c r="O204" s="7" t="s">
        <v>1173</v>
      </c>
      <c r="P204" s="7" t="s">
        <v>34</v>
      </c>
      <c r="Q204" s="7" t="s">
        <v>34</v>
      </c>
      <c r="R204" s="7" t="s">
        <v>35</v>
      </c>
      <c r="S204" s="8" t="s">
        <v>1180</v>
      </c>
      <c r="T204" s="7" t="s">
        <v>37</v>
      </c>
    </row>
    <row r="205" customHeight="1" spans="1:20">
      <c r="A205" s="7">
        <v>114685</v>
      </c>
      <c r="B205" s="7" t="s">
        <v>1181</v>
      </c>
      <c r="C205" s="7" t="s">
        <v>138</v>
      </c>
      <c r="D205" s="8" t="s">
        <v>1182</v>
      </c>
      <c r="E205" s="7" t="s">
        <v>23</v>
      </c>
      <c r="F205" s="7" t="s">
        <v>24</v>
      </c>
      <c r="G205" s="8" t="s">
        <v>1183</v>
      </c>
      <c r="H205" s="7" t="s">
        <v>1184</v>
      </c>
      <c r="I205" s="11" t="s">
        <v>1185</v>
      </c>
      <c r="J205" s="7" t="s">
        <v>1186</v>
      </c>
      <c r="K205" s="7" t="s">
        <v>1187</v>
      </c>
      <c r="L205" s="7" t="s">
        <v>1188</v>
      </c>
      <c r="M205" s="12" t="s">
        <v>31</v>
      </c>
      <c r="N205" s="7" t="s">
        <v>32</v>
      </c>
      <c r="O205" s="7" t="s">
        <v>726</v>
      </c>
      <c r="P205" s="7" t="s">
        <v>34</v>
      </c>
      <c r="Q205" s="7" t="s">
        <v>34</v>
      </c>
      <c r="R205" s="7" t="s">
        <v>35</v>
      </c>
      <c r="S205" s="8" t="s">
        <v>1189</v>
      </c>
      <c r="T205" s="7" t="s">
        <v>37</v>
      </c>
    </row>
    <row r="206" customHeight="1" spans="1:20">
      <c r="A206" s="7">
        <v>581</v>
      </c>
      <c r="B206" s="7" t="s">
        <v>1232</v>
      </c>
      <c r="C206" s="7" t="s">
        <v>21</v>
      </c>
      <c r="D206" s="8" t="s">
        <v>22</v>
      </c>
      <c r="E206" s="7" t="s">
        <v>23</v>
      </c>
      <c r="F206" s="7" t="s">
        <v>24</v>
      </c>
      <c r="G206" s="8" t="s">
        <v>1233</v>
      </c>
      <c r="H206" s="7" t="s">
        <v>858</v>
      </c>
      <c r="I206" s="11" t="s">
        <v>859</v>
      </c>
      <c r="J206" s="7" t="s">
        <v>1234</v>
      </c>
      <c r="K206" s="7" t="s">
        <v>1235</v>
      </c>
      <c r="L206" s="7" t="s">
        <v>1236</v>
      </c>
      <c r="M206" s="12" t="s">
        <v>31</v>
      </c>
      <c r="N206" s="7" t="s">
        <v>32</v>
      </c>
      <c r="O206" s="7" t="s">
        <v>863</v>
      </c>
      <c r="P206" s="7" t="s">
        <v>34</v>
      </c>
      <c r="Q206" s="7" t="s">
        <v>1839</v>
      </c>
      <c r="R206" s="7" t="s">
        <v>35</v>
      </c>
      <c r="S206" s="8" t="s">
        <v>1237</v>
      </c>
      <c r="T206" s="7" t="s">
        <v>37</v>
      </c>
    </row>
    <row r="207" customHeight="1" spans="1:20">
      <c r="A207" s="7">
        <v>119262</v>
      </c>
      <c r="B207" s="7" t="s">
        <v>1238</v>
      </c>
      <c r="C207" s="7" t="s">
        <v>21</v>
      </c>
      <c r="D207" s="8" t="s">
        <v>22</v>
      </c>
      <c r="E207" s="7" t="s">
        <v>23</v>
      </c>
      <c r="F207" s="7" t="s">
        <v>24</v>
      </c>
      <c r="G207" s="8" t="s">
        <v>1239</v>
      </c>
      <c r="H207" s="7" t="s">
        <v>858</v>
      </c>
      <c r="I207" s="11" t="s">
        <v>859</v>
      </c>
      <c r="J207" s="7" t="s">
        <v>1240</v>
      </c>
      <c r="K207" s="7" t="s">
        <v>1241</v>
      </c>
      <c r="L207" s="7" t="s">
        <v>1236</v>
      </c>
      <c r="M207" s="12" t="s">
        <v>31</v>
      </c>
      <c r="N207" s="7" t="s">
        <v>32</v>
      </c>
      <c r="O207" s="7" t="s">
        <v>863</v>
      </c>
      <c r="P207" s="7" t="s">
        <v>34</v>
      </c>
      <c r="Q207" s="7" t="s">
        <v>34</v>
      </c>
      <c r="R207" s="7" t="s">
        <v>35</v>
      </c>
      <c r="S207" s="8" t="s">
        <v>1242</v>
      </c>
      <c r="T207" s="7" t="s">
        <v>37</v>
      </c>
    </row>
    <row r="208" customHeight="1" spans="1:20">
      <c r="A208" s="7">
        <v>581</v>
      </c>
      <c r="B208" s="7" t="s">
        <v>1232</v>
      </c>
      <c r="C208" s="7" t="s">
        <v>138</v>
      </c>
      <c r="D208" s="8" t="s">
        <v>168</v>
      </c>
      <c r="E208" s="7" t="s">
        <v>23</v>
      </c>
      <c r="F208" s="7" t="s">
        <v>24</v>
      </c>
      <c r="G208" s="8" t="s">
        <v>1243</v>
      </c>
      <c r="H208" s="7" t="s">
        <v>858</v>
      </c>
      <c r="I208" s="11" t="s">
        <v>859</v>
      </c>
      <c r="J208" s="7" t="s">
        <v>1244</v>
      </c>
      <c r="K208" s="7" t="s">
        <v>1245</v>
      </c>
      <c r="L208" s="7" t="s">
        <v>1236</v>
      </c>
      <c r="M208" s="12" t="s">
        <v>31</v>
      </c>
      <c r="N208" s="7" t="s">
        <v>32</v>
      </c>
      <c r="O208" s="7" t="s">
        <v>863</v>
      </c>
      <c r="P208" s="7" t="s">
        <v>34</v>
      </c>
      <c r="Q208" s="7" t="s">
        <v>1839</v>
      </c>
      <c r="R208" s="7" t="s">
        <v>35</v>
      </c>
      <c r="S208" s="8" t="s">
        <v>1246</v>
      </c>
      <c r="T208" s="7" t="s">
        <v>37</v>
      </c>
    </row>
    <row r="209" customHeight="1" spans="1:20">
      <c r="A209" s="7">
        <v>119262</v>
      </c>
      <c r="B209" s="7" t="s">
        <v>1238</v>
      </c>
      <c r="C209" s="7" t="s">
        <v>138</v>
      </c>
      <c r="D209" s="8" t="s">
        <v>168</v>
      </c>
      <c r="E209" s="7" t="s">
        <v>23</v>
      </c>
      <c r="F209" s="7" t="s">
        <v>24</v>
      </c>
      <c r="G209" s="8" t="s">
        <v>1247</v>
      </c>
      <c r="H209" s="7" t="s">
        <v>858</v>
      </c>
      <c r="I209" s="11" t="s">
        <v>859</v>
      </c>
      <c r="J209" s="7" t="s">
        <v>1248</v>
      </c>
      <c r="K209" s="7" t="s">
        <v>1249</v>
      </c>
      <c r="L209" s="7" t="s">
        <v>1236</v>
      </c>
      <c r="M209" s="12" t="s">
        <v>31</v>
      </c>
      <c r="N209" s="7" t="s">
        <v>32</v>
      </c>
      <c r="O209" s="7" t="s">
        <v>863</v>
      </c>
      <c r="P209" s="7" t="s">
        <v>34</v>
      </c>
      <c r="Q209" s="7" t="s">
        <v>34</v>
      </c>
      <c r="R209" s="7" t="s">
        <v>35</v>
      </c>
      <c r="S209" s="8" t="s">
        <v>1250</v>
      </c>
      <c r="T209" s="7" t="s">
        <v>37</v>
      </c>
    </row>
    <row r="210" customHeight="1" spans="1:20">
      <c r="A210" s="7">
        <v>581</v>
      </c>
      <c r="B210" s="7" t="s">
        <v>1232</v>
      </c>
      <c r="C210" s="7" t="s">
        <v>138</v>
      </c>
      <c r="D210" s="8" t="s">
        <v>139</v>
      </c>
      <c r="E210" s="7" t="s">
        <v>23</v>
      </c>
      <c r="F210" s="7" t="s">
        <v>24</v>
      </c>
      <c r="G210" s="8" t="s">
        <v>1251</v>
      </c>
      <c r="H210" s="7" t="s">
        <v>858</v>
      </c>
      <c r="I210" s="11" t="s">
        <v>859</v>
      </c>
      <c r="J210" s="7" t="s">
        <v>1252</v>
      </c>
      <c r="K210" s="7" t="s">
        <v>1253</v>
      </c>
      <c r="L210" s="7" t="s">
        <v>1236</v>
      </c>
      <c r="M210" s="12" t="s">
        <v>31</v>
      </c>
      <c r="N210" s="7" t="s">
        <v>32</v>
      </c>
      <c r="O210" s="7" t="s">
        <v>863</v>
      </c>
      <c r="P210" s="7" t="s">
        <v>34</v>
      </c>
      <c r="Q210" s="7" t="s">
        <v>1839</v>
      </c>
      <c r="R210" s="7" t="s">
        <v>35</v>
      </c>
      <c r="S210" s="8" t="s">
        <v>1254</v>
      </c>
      <c r="T210" s="7" t="s">
        <v>37</v>
      </c>
    </row>
    <row r="211" customHeight="1" spans="1:20">
      <c r="A211" s="7">
        <v>119262</v>
      </c>
      <c r="B211" s="7" t="s">
        <v>1238</v>
      </c>
      <c r="C211" s="7" t="s">
        <v>138</v>
      </c>
      <c r="D211" s="8" t="s">
        <v>156</v>
      </c>
      <c r="E211" s="7" t="s">
        <v>23</v>
      </c>
      <c r="F211" s="7" t="s">
        <v>24</v>
      </c>
      <c r="G211" s="8" t="s">
        <v>1255</v>
      </c>
      <c r="H211" s="7" t="s">
        <v>858</v>
      </c>
      <c r="I211" s="11" t="s">
        <v>859</v>
      </c>
      <c r="J211" s="7" t="s">
        <v>1256</v>
      </c>
      <c r="K211" s="7" t="s">
        <v>1257</v>
      </c>
      <c r="L211" s="7" t="s">
        <v>1236</v>
      </c>
      <c r="M211" s="12" t="s">
        <v>31</v>
      </c>
      <c r="N211" s="7" t="s">
        <v>32</v>
      </c>
      <c r="O211" s="7" t="s">
        <v>863</v>
      </c>
      <c r="P211" s="7" t="s">
        <v>34</v>
      </c>
      <c r="Q211" s="7" t="s">
        <v>1839</v>
      </c>
      <c r="R211" s="7" t="s">
        <v>35</v>
      </c>
      <c r="S211" s="8" t="s">
        <v>1258</v>
      </c>
      <c r="T211" s="7" t="s">
        <v>37</v>
      </c>
    </row>
    <row r="212" customHeight="1" spans="1:20">
      <c r="A212" s="7">
        <v>119262</v>
      </c>
      <c r="B212" s="7" t="s">
        <v>1238</v>
      </c>
      <c r="C212" s="7" t="s">
        <v>138</v>
      </c>
      <c r="D212" s="8" t="s">
        <v>161</v>
      </c>
      <c r="E212" s="7" t="s">
        <v>23</v>
      </c>
      <c r="F212" s="7" t="s">
        <v>24</v>
      </c>
      <c r="G212" s="8" t="s">
        <v>1255</v>
      </c>
      <c r="H212" s="7" t="s">
        <v>858</v>
      </c>
      <c r="I212" s="11" t="s">
        <v>859</v>
      </c>
      <c r="J212" s="7" t="s">
        <v>1259</v>
      </c>
      <c r="K212" s="7" t="s">
        <v>1260</v>
      </c>
      <c r="L212" s="7" t="s">
        <v>1236</v>
      </c>
      <c r="M212" s="12" t="s">
        <v>31</v>
      </c>
      <c r="N212" s="7" t="s">
        <v>32</v>
      </c>
      <c r="O212" s="7" t="s">
        <v>863</v>
      </c>
      <c r="P212" s="7" t="s">
        <v>34</v>
      </c>
      <c r="Q212" s="7" t="s">
        <v>1839</v>
      </c>
      <c r="R212" s="7" t="s">
        <v>35</v>
      </c>
      <c r="S212" s="8" t="s">
        <v>1261</v>
      </c>
      <c r="T212" s="7" t="s">
        <v>37</v>
      </c>
    </row>
    <row r="213" customHeight="1" spans="1:20">
      <c r="A213" s="7">
        <v>119262</v>
      </c>
      <c r="B213" s="7" t="s">
        <v>1238</v>
      </c>
      <c r="C213" s="7" t="s">
        <v>138</v>
      </c>
      <c r="D213" s="8" t="s">
        <v>139</v>
      </c>
      <c r="E213" s="7" t="s">
        <v>23</v>
      </c>
      <c r="F213" s="7" t="s">
        <v>24</v>
      </c>
      <c r="G213" s="8" t="s">
        <v>1255</v>
      </c>
      <c r="H213" s="7" t="s">
        <v>858</v>
      </c>
      <c r="I213" s="11" t="s">
        <v>859</v>
      </c>
      <c r="J213" s="7" t="s">
        <v>1262</v>
      </c>
      <c r="K213" s="7" t="s">
        <v>1263</v>
      </c>
      <c r="L213" s="7" t="s">
        <v>1236</v>
      </c>
      <c r="M213" s="12" t="s">
        <v>31</v>
      </c>
      <c r="N213" s="7" t="s">
        <v>32</v>
      </c>
      <c r="O213" s="7" t="s">
        <v>863</v>
      </c>
      <c r="P213" s="7" t="s">
        <v>34</v>
      </c>
      <c r="Q213" s="7" t="s">
        <v>1839</v>
      </c>
      <c r="R213" s="7" t="s">
        <v>35</v>
      </c>
      <c r="S213" s="8" t="s">
        <v>1264</v>
      </c>
      <c r="T213" s="7" t="s">
        <v>37</v>
      </c>
    </row>
    <row r="214" customHeight="1" spans="1:20">
      <c r="A214" s="7">
        <v>585</v>
      </c>
      <c r="B214" s="7" t="s">
        <v>1265</v>
      </c>
      <c r="C214" s="7" t="s">
        <v>291</v>
      </c>
      <c r="D214" s="8" t="s">
        <v>292</v>
      </c>
      <c r="E214" s="7" t="s">
        <v>23</v>
      </c>
      <c r="F214" s="7" t="s">
        <v>24</v>
      </c>
      <c r="G214" s="8" t="s">
        <v>1266</v>
      </c>
      <c r="H214" s="7" t="s">
        <v>858</v>
      </c>
      <c r="I214" s="11" t="s">
        <v>859</v>
      </c>
      <c r="J214" s="7" t="s">
        <v>1267</v>
      </c>
      <c r="K214" s="7" t="s">
        <v>1268</v>
      </c>
      <c r="L214" s="7" t="s">
        <v>1269</v>
      </c>
      <c r="M214" s="12" t="s">
        <v>31</v>
      </c>
      <c r="N214" s="7" t="s">
        <v>32</v>
      </c>
      <c r="O214" s="7" t="s">
        <v>863</v>
      </c>
      <c r="P214" s="7" t="s">
        <v>1839</v>
      </c>
      <c r="Q214" s="7" t="s">
        <v>1839</v>
      </c>
      <c r="R214" s="7" t="s">
        <v>35</v>
      </c>
      <c r="S214" s="8" t="s">
        <v>1270</v>
      </c>
      <c r="T214" s="7" t="s">
        <v>37</v>
      </c>
    </row>
    <row r="215" customHeight="1" spans="1:20">
      <c r="A215" s="7">
        <v>585</v>
      </c>
      <c r="B215" s="7" t="s">
        <v>1265</v>
      </c>
      <c r="C215" s="7" t="s">
        <v>138</v>
      </c>
      <c r="D215" s="8" t="s">
        <v>147</v>
      </c>
      <c r="E215" s="7" t="s">
        <v>23</v>
      </c>
      <c r="F215" s="7" t="s">
        <v>24</v>
      </c>
      <c r="G215" s="8" t="s">
        <v>1271</v>
      </c>
      <c r="H215" s="7" t="s">
        <v>858</v>
      </c>
      <c r="I215" s="11" t="s">
        <v>859</v>
      </c>
      <c r="J215" s="7" t="s">
        <v>1272</v>
      </c>
      <c r="K215" s="7" t="s">
        <v>1273</v>
      </c>
      <c r="L215" s="7" t="s">
        <v>1269</v>
      </c>
      <c r="M215" s="12" t="s">
        <v>31</v>
      </c>
      <c r="N215" s="7" t="s">
        <v>32</v>
      </c>
      <c r="O215" s="7" t="s">
        <v>863</v>
      </c>
      <c r="P215" s="7" t="s">
        <v>34</v>
      </c>
      <c r="Q215" s="7" t="s">
        <v>1839</v>
      </c>
      <c r="R215" s="7" t="s">
        <v>35</v>
      </c>
      <c r="S215" s="8" t="s">
        <v>1274</v>
      </c>
      <c r="T215" s="7" t="s">
        <v>37</v>
      </c>
    </row>
    <row r="216" customHeight="1" spans="1:20">
      <c r="A216" s="7">
        <v>585</v>
      </c>
      <c r="B216" s="7" t="s">
        <v>1265</v>
      </c>
      <c r="C216" s="7" t="s">
        <v>138</v>
      </c>
      <c r="D216" s="8" t="s">
        <v>152</v>
      </c>
      <c r="E216" s="7" t="s">
        <v>23</v>
      </c>
      <c r="F216" s="7" t="s">
        <v>24</v>
      </c>
      <c r="G216" s="8" t="s">
        <v>1271</v>
      </c>
      <c r="H216" s="7" t="s">
        <v>858</v>
      </c>
      <c r="I216" s="11" t="s">
        <v>859</v>
      </c>
      <c r="J216" s="7" t="s">
        <v>1275</v>
      </c>
      <c r="K216" s="7" t="s">
        <v>1276</v>
      </c>
      <c r="L216" s="7" t="s">
        <v>1269</v>
      </c>
      <c r="M216" s="12" t="s">
        <v>31</v>
      </c>
      <c r="N216" s="7" t="s">
        <v>32</v>
      </c>
      <c r="O216" s="7" t="s">
        <v>863</v>
      </c>
      <c r="P216" s="7" t="s">
        <v>34</v>
      </c>
      <c r="Q216" s="7" t="s">
        <v>34</v>
      </c>
      <c r="R216" s="7" t="s">
        <v>35</v>
      </c>
      <c r="S216" s="8" t="s">
        <v>1277</v>
      </c>
      <c r="T216" s="7" t="s">
        <v>37</v>
      </c>
    </row>
    <row r="217" customHeight="1" spans="1:20">
      <c r="A217" s="7">
        <v>585</v>
      </c>
      <c r="B217" s="7" t="s">
        <v>1265</v>
      </c>
      <c r="C217" s="7" t="s">
        <v>291</v>
      </c>
      <c r="D217" s="8" t="s">
        <v>292</v>
      </c>
      <c r="E217" s="7" t="s">
        <v>23</v>
      </c>
      <c r="F217" s="7" t="s">
        <v>24</v>
      </c>
      <c r="G217" s="8" t="s">
        <v>1278</v>
      </c>
      <c r="H217" s="7" t="s">
        <v>858</v>
      </c>
      <c r="I217" s="11" t="s">
        <v>859</v>
      </c>
      <c r="J217" s="7" t="s">
        <v>1279</v>
      </c>
      <c r="K217" s="7" t="s">
        <v>1280</v>
      </c>
      <c r="L217" s="7" t="s">
        <v>1269</v>
      </c>
      <c r="M217" s="12" t="s">
        <v>31</v>
      </c>
      <c r="N217" s="7" t="s">
        <v>32</v>
      </c>
      <c r="O217" s="7" t="s">
        <v>863</v>
      </c>
      <c r="P217" s="7" t="s">
        <v>1839</v>
      </c>
      <c r="Q217" s="7" t="s">
        <v>34</v>
      </c>
      <c r="R217" s="7" t="s">
        <v>35</v>
      </c>
      <c r="S217" s="8" t="s">
        <v>1281</v>
      </c>
      <c r="T217" s="7" t="s">
        <v>37</v>
      </c>
    </row>
    <row r="218" customHeight="1" spans="1:20">
      <c r="A218" s="7">
        <v>585</v>
      </c>
      <c r="B218" s="7" t="s">
        <v>1265</v>
      </c>
      <c r="C218" s="7" t="s">
        <v>138</v>
      </c>
      <c r="D218" s="8" t="s">
        <v>156</v>
      </c>
      <c r="E218" s="7" t="s">
        <v>23</v>
      </c>
      <c r="F218" s="7" t="s">
        <v>24</v>
      </c>
      <c r="G218" s="8" t="s">
        <v>1282</v>
      </c>
      <c r="H218" s="7" t="s">
        <v>858</v>
      </c>
      <c r="I218" s="11" t="s">
        <v>859</v>
      </c>
      <c r="J218" s="7" t="s">
        <v>1283</v>
      </c>
      <c r="K218" s="7" t="s">
        <v>1284</v>
      </c>
      <c r="L218" s="7" t="s">
        <v>1269</v>
      </c>
      <c r="M218" s="12" t="s">
        <v>31</v>
      </c>
      <c r="N218" s="7" t="s">
        <v>32</v>
      </c>
      <c r="O218" s="7" t="s">
        <v>863</v>
      </c>
      <c r="P218" s="7" t="s">
        <v>34</v>
      </c>
      <c r="Q218" s="7" t="s">
        <v>1839</v>
      </c>
      <c r="R218" s="7" t="s">
        <v>35</v>
      </c>
      <c r="S218" s="8" t="s">
        <v>1285</v>
      </c>
      <c r="T218" s="7" t="s">
        <v>37</v>
      </c>
    </row>
    <row r="219" customHeight="1" spans="1:20">
      <c r="A219" s="7">
        <v>585</v>
      </c>
      <c r="B219" s="7" t="s">
        <v>1265</v>
      </c>
      <c r="C219" s="7" t="s">
        <v>138</v>
      </c>
      <c r="D219" s="8" t="s">
        <v>161</v>
      </c>
      <c r="E219" s="7" t="s">
        <v>23</v>
      </c>
      <c r="F219" s="7" t="s">
        <v>24</v>
      </c>
      <c r="G219" s="8" t="s">
        <v>1282</v>
      </c>
      <c r="H219" s="7" t="s">
        <v>858</v>
      </c>
      <c r="I219" s="11" t="s">
        <v>859</v>
      </c>
      <c r="J219" s="7" t="s">
        <v>1286</v>
      </c>
      <c r="K219" s="7" t="s">
        <v>1287</v>
      </c>
      <c r="L219" s="7" t="s">
        <v>1269</v>
      </c>
      <c r="M219" s="12" t="s">
        <v>31</v>
      </c>
      <c r="N219" s="7" t="s">
        <v>32</v>
      </c>
      <c r="O219" s="7" t="s">
        <v>863</v>
      </c>
      <c r="P219" s="7" t="s">
        <v>34</v>
      </c>
      <c r="Q219" s="7" t="s">
        <v>1839</v>
      </c>
      <c r="R219" s="7" t="s">
        <v>35</v>
      </c>
      <c r="S219" s="8" t="s">
        <v>1288</v>
      </c>
      <c r="T219" s="7" t="s">
        <v>37</v>
      </c>
    </row>
    <row r="220" customHeight="1" spans="1:20">
      <c r="A220" s="7">
        <v>585</v>
      </c>
      <c r="B220" s="7" t="s">
        <v>1265</v>
      </c>
      <c r="C220" s="7" t="s">
        <v>138</v>
      </c>
      <c r="D220" s="8" t="s">
        <v>139</v>
      </c>
      <c r="E220" s="7" t="s">
        <v>23</v>
      </c>
      <c r="F220" s="7" t="s">
        <v>24</v>
      </c>
      <c r="G220" s="8" t="s">
        <v>1282</v>
      </c>
      <c r="H220" s="7" t="s">
        <v>858</v>
      </c>
      <c r="I220" s="11" t="s">
        <v>859</v>
      </c>
      <c r="J220" s="7" t="s">
        <v>1289</v>
      </c>
      <c r="K220" s="7" t="s">
        <v>1290</v>
      </c>
      <c r="L220" s="7" t="s">
        <v>1269</v>
      </c>
      <c r="M220" s="12" t="s">
        <v>31</v>
      </c>
      <c r="N220" s="7" t="s">
        <v>32</v>
      </c>
      <c r="O220" s="7" t="s">
        <v>863</v>
      </c>
      <c r="P220" s="7" t="s">
        <v>34</v>
      </c>
      <c r="Q220" s="7" t="s">
        <v>1839</v>
      </c>
      <c r="R220" s="7" t="s">
        <v>35</v>
      </c>
      <c r="S220" s="8" t="s">
        <v>1291</v>
      </c>
      <c r="T220" s="7" t="s">
        <v>37</v>
      </c>
    </row>
    <row r="221" customHeight="1" spans="1:20">
      <c r="A221" s="7">
        <v>585</v>
      </c>
      <c r="B221" s="7" t="s">
        <v>1265</v>
      </c>
      <c r="C221" s="7" t="s">
        <v>291</v>
      </c>
      <c r="D221" s="8" t="s">
        <v>292</v>
      </c>
      <c r="E221" s="7" t="s">
        <v>23</v>
      </c>
      <c r="F221" s="7" t="s">
        <v>24</v>
      </c>
      <c r="G221" s="8" t="s">
        <v>1292</v>
      </c>
      <c r="H221" s="7" t="s">
        <v>858</v>
      </c>
      <c r="I221" s="11" t="s">
        <v>859</v>
      </c>
      <c r="J221" s="7" t="s">
        <v>1293</v>
      </c>
      <c r="K221" s="7" t="s">
        <v>1294</v>
      </c>
      <c r="L221" s="7" t="s">
        <v>1269</v>
      </c>
      <c r="M221" s="12" t="s">
        <v>31</v>
      </c>
      <c r="N221" s="7" t="s">
        <v>32</v>
      </c>
      <c r="O221" s="7" t="s">
        <v>863</v>
      </c>
      <c r="P221" s="7" t="s">
        <v>1839</v>
      </c>
      <c r="Q221" s="7" t="s">
        <v>34</v>
      </c>
      <c r="R221" s="7" t="s">
        <v>35</v>
      </c>
      <c r="S221" s="8" t="s">
        <v>1295</v>
      </c>
      <c r="T221" s="7" t="s">
        <v>37</v>
      </c>
    </row>
    <row r="222" customHeight="1" spans="1:20">
      <c r="A222" s="7">
        <v>585</v>
      </c>
      <c r="B222" s="7" t="s">
        <v>1265</v>
      </c>
      <c r="C222" s="7" t="s">
        <v>21</v>
      </c>
      <c r="D222" s="8" t="s">
        <v>22</v>
      </c>
      <c r="E222" s="7" t="s">
        <v>23</v>
      </c>
      <c r="F222" s="7" t="s">
        <v>24</v>
      </c>
      <c r="G222" s="8" t="s">
        <v>1296</v>
      </c>
      <c r="H222" s="7" t="s">
        <v>858</v>
      </c>
      <c r="I222" s="11" t="s">
        <v>859</v>
      </c>
      <c r="J222" s="7" t="s">
        <v>1297</v>
      </c>
      <c r="K222" s="7" t="s">
        <v>1298</v>
      </c>
      <c r="L222" s="7" t="s">
        <v>1269</v>
      </c>
      <c r="M222" s="12" t="s">
        <v>31</v>
      </c>
      <c r="N222" s="7" t="s">
        <v>32</v>
      </c>
      <c r="O222" s="7" t="s">
        <v>863</v>
      </c>
      <c r="P222" s="7" t="s">
        <v>34</v>
      </c>
      <c r="Q222" s="7" t="s">
        <v>1839</v>
      </c>
      <c r="R222" s="7" t="s">
        <v>35</v>
      </c>
      <c r="S222" s="8" t="s">
        <v>1299</v>
      </c>
      <c r="T222" s="7" t="s">
        <v>37</v>
      </c>
    </row>
    <row r="223" customHeight="1" spans="1:20">
      <c r="A223" s="7">
        <v>585</v>
      </c>
      <c r="B223" s="7" t="s">
        <v>1265</v>
      </c>
      <c r="C223" s="7" t="s">
        <v>138</v>
      </c>
      <c r="D223" s="8" t="s">
        <v>168</v>
      </c>
      <c r="E223" s="7" t="s">
        <v>23</v>
      </c>
      <c r="F223" s="7" t="s">
        <v>24</v>
      </c>
      <c r="G223" s="8" t="s">
        <v>1300</v>
      </c>
      <c r="H223" s="7" t="s">
        <v>858</v>
      </c>
      <c r="I223" s="11" t="s">
        <v>859</v>
      </c>
      <c r="J223" s="7" t="s">
        <v>1301</v>
      </c>
      <c r="K223" s="7" t="s">
        <v>1302</v>
      </c>
      <c r="L223" s="7" t="s">
        <v>1269</v>
      </c>
      <c r="M223" s="12" t="s">
        <v>31</v>
      </c>
      <c r="N223" s="7" t="s">
        <v>32</v>
      </c>
      <c r="O223" s="7" t="s">
        <v>863</v>
      </c>
      <c r="P223" s="7" t="s">
        <v>34</v>
      </c>
      <c r="Q223" s="7" t="s">
        <v>1839</v>
      </c>
      <c r="R223" s="7" t="s">
        <v>35</v>
      </c>
      <c r="S223" s="8" t="s">
        <v>1303</v>
      </c>
      <c r="T223" s="7" t="s">
        <v>37</v>
      </c>
    </row>
    <row r="224" customHeight="1" spans="1:20">
      <c r="A224" s="7">
        <v>105910</v>
      </c>
      <c r="B224" s="7" t="s">
        <v>489</v>
      </c>
      <c r="C224" s="7" t="s">
        <v>683</v>
      </c>
      <c r="D224" s="8" t="s">
        <v>976</v>
      </c>
      <c r="E224" s="7" t="s">
        <v>23</v>
      </c>
      <c r="F224" s="7" t="s">
        <v>24</v>
      </c>
      <c r="G224" s="8" t="s">
        <v>1304</v>
      </c>
      <c r="H224" s="7" t="s">
        <v>858</v>
      </c>
      <c r="I224" s="11" t="s">
        <v>859</v>
      </c>
      <c r="J224" s="7" t="s">
        <v>1305</v>
      </c>
      <c r="K224" s="7" t="s">
        <v>1306</v>
      </c>
      <c r="L224" s="7" t="s">
        <v>493</v>
      </c>
      <c r="M224" s="12" t="s">
        <v>31</v>
      </c>
      <c r="N224" s="7" t="s">
        <v>32</v>
      </c>
      <c r="O224" s="7" t="s">
        <v>197</v>
      </c>
      <c r="P224" s="7" t="s">
        <v>1839</v>
      </c>
      <c r="Q224" s="7" t="s">
        <v>1839</v>
      </c>
      <c r="R224" s="7" t="s">
        <v>60</v>
      </c>
      <c r="S224" s="8" t="s">
        <v>1307</v>
      </c>
      <c r="T224" s="7" t="s">
        <v>37</v>
      </c>
    </row>
    <row r="225" customHeight="1" spans="1:20">
      <c r="A225" s="7">
        <v>105910</v>
      </c>
      <c r="B225" s="7" t="s">
        <v>489</v>
      </c>
      <c r="C225" s="7" t="s">
        <v>692</v>
      </c>
      <c r="D225" s="8" t="s">
        <v>971</v>
      </c>
      <c r="E225" s="7" t="s">
        <v>23</v>
      </c>
      <c r="F225" s="7" t="s">
        <v>24</v>
      </c>
      <c r="G225" s="8" t="s">
        <v>1304</v>
      </c>
      <c r="H225" s="7" t="s">
        <v>858</v>
      </c>
      <c r="I225" s="11" t="s">
        <v>859</v>
      </c>
      <c r="J225" s="7" t="s">
        <v>1308</v>
      </c>
      <c r="K225" s="7" t="s">
        <v>1309</v>
      </c>
      <c r="L225" s="7" t="s">
        <v>493</v>
      </c>
      <c r="M225" s="12" t="s">
        <v>31</v>
      </c>
      <c r="N225" s="7" t="s">
        <v>32</v>
      </c>
      <c r="O225" s="7" t="s">
        <v>197</v>
      </c>
      <c r="P225" s="7" t="s">
        <v>34</v>
      </c>
      <c r="Q225" s="7" t="s">
        <v>1839</v>
      </c>
      <c r="R225" s="7" t="s">
        <v>60</v>
      </c>
      <c r="S225" s="8" t="s">
        <v>1310</v>
      </c>
      <c r="T225" s="7" t="s">
        <v>37</v>
      </c>
    </row>
    <row r="226" customHeight="1" spans="1:20">
      <c r="A226" s="7">
        <v>582</v>
      </c>
      <c r="B226" s="7" t="s">
        <v>495</v>
      </c>
      <c r="C226" s="7" t="s">
        <v>138</v>
      </c>
      <c r="D226" s="8" t="s">
        <v>183</v>
      </c>
      <c r="E226" s="7" t="s">
        <v>23</v>
      </c>
      <c r="F226" s="7" t="s">
        <v>24</v>
      </c>
      <c r="G226" s="8" t="s">
        <v>1388</v>
      </c>
      <c r="H226" s="7" t="s">
        <v>567</v>
      </c>
      <c r="I226" s="11" t="s">
        <v>568</v>
      </c>
      <c r="J226" s="7" t="s">
        <v>1389</v>
      </c>
      <c r="K226" s="7" t="s">
        <v>1390</v>
      </c>
      <c r="L226" s="7" t="s">
        <v>500</v>
      </c>
      <c r="M226" s="12" t="s">
        <v>31</v>
      </c>
      <c r="N226" s="7" t="s">
        <v>32</v>
      </c>
      <c r="O226" s="7" t="s">
        <v>197</v>
      </c>
      <c r="P226" s="7" t="s">
        <v>34</v>
      </c>
      <c r="Q226" s="7" t="s">
        <v>1839</v>
      </c>
      <c r="R226" s="7" t="s">
        <v>35</v>
      </c>
      <c r="S226" s="8" t="s">
        <v>1391</v>
      </c>
      <c r="T226" s="7" t="s">
        <v>37</v>
      </c>
    </row>
    <row r="227" customHeight="1" spans="1:20">
      <c r="A227" s="7">
        <v>582</v>
      </c>
      <c r="B227" s="7" t="s">
        <v>495</v>
      </c>
      <c r="C227" s="7" t="s">
        <v>21</v>
      </c>
      <c r="D227" s="8" t="s">
        <v>22</v>
      </c>
      <c r="E227" s="7" t="s">
        <v>23</v>
      </c>
      <c r="F227" s="7" t="s">
        <v>24</v>
      </c>
      <c r="G227" s="8" t="s">
        <v>1392</v>
      </c>
      <c r="H227" s="7" t="s">
        <v>567</v>
      </c>
      <c r="I227" s="11" t="s">
        <v>568</v>
      </c>
      <c r="J227" s="7" t="s">
        <v>1393</v>
      </c>
      <c r="K227" s="7" t="s">
        <v>1394</v>
      </c>
      <c r="L227" s="7" t="s">
        <v>500</v>
      </c>
      <c r="M227" s="12" t="s">
        <v>31</v>
      </c>
      <c r="N227" s="7" t="s">
        <v>32</v>
      </c>
      <c r="O227" s="7" t="s">
        <v>197</v>
      </c>
      <c r="P227" s="7" t="s">
        <v>34</v>
      </c>
      <c r="Q227" s="7" t="s">
        <v>1839</v>
      </c>
      <c r="R227" s="7" t="s">
        <v>35</v>
      </c>
      <c r="S227" s="8" t="s">
        <v>1395</v>
      </c>
      <c r="T227" s="7" t="s">
        <v>37</v>
      </c>
    </row>
    <row r="228" customHeight="1" spans="1:20">
      <c r="A228" s="7">
        <v>582</v>
      </c>
      <c r="B228" s="7" t="s">
        <v>495</v>
      </c>
      <c r="C228" s="7" t="s">
        <v>138</v>
      </c>
      <c r="D228" s="8" t="s">
        <v>174</v>
      </c>
      <c r="E228" s="7" t="s">
        <v>23</v>
      </c>
      <c r="F228" s="7" t="s">
        <v>24</v>
      </c>
      <c r="G228" s="8" t="s">
        <v>1388</v>
      </c>
      <c r="H228" s="7" t="s">
        <v>567</v>
      </c>
      <c r="I228" s="11" t="s">
        <v>568</v>
      </c>
      <c r="J228" s="7" t="s">
        <v>1396</v>
      </c>
      <c r="K228" s="7" t="s">
        <v>1397</v>
      </c>
      <c r="L228" s="7" t="s">
        <v>500</v>
      </c>
      <c r="M228" s="12" t="s">
        <v>31</v>
      </c>
      <c r="N228" s="7" t="s">
        <v>32</v>
      </c>
      <c r="O228" s="7" t="s">
        <v>197</v>
      </c>
      <c r="P228" s="7" t="s">
        <v>34</v>
      </c>
      <c r="Q228" s="7" t="s">
        <v>1839</v>
      </c>
      <c r="R228" s="7" t="s">
        <v>35</v>
      </c>
      <c r="S228" s="8" t="s">
        <v>1398</v>
      </c>
      <c r="T228" s="7" t="s">
        <v>37</v>
      </c>
    </row>
    <row r="229" customHeight="1" spans="1:20">
      <c r="A229" s="7">
        <v>582</v>
      </c>
      <c r="B229" s="7" t="s">
        <v>495</v>
      </c>
      <c r="C229" s="7" t="s">
        <v>138</v>
      </c>
      <c r="D229" s="8" t="s">
        <v>179</v>
      </c>
      <c r="E229" s="7" t="s">
        <v>23</v>
      </c>
      <c r="F229" s="7" t="s">
        <v>24</v>
      </c>
      <c r="G229" s="8" t="s">
        <v>1388</v>
      </c>
      <c r="H229" s="7" t="s">
        <v>567</v>
      </c>
      <c r="I229" s="11" t="s">
        <v>568</v>
      </c>
      <c r="J229" s="7" t="s">
        <v>1399</v>
      </c>
      <c r="K229" s="7" t="s">
        <v>1400</v>
      </c>
      <c r="L229" s="7" t="s">
        <v>500</v>
      </c>
      <c r="M229" s="12" t="s">
        <v>31</v>
      </c>
      <c r="N229" s="7" t="s">
        <v>32</v>
      </c>
      <c r="O229" s="7" t="s">
        <v>197</v>
      </c>
      <c r="P229" s="7" t="s">
        <v>34</v>
      </c>
      <c r="Q229" s="7" t="s">
        <v>1839</v>
      </c>
      <c r="R229" s="7" t="s">
        <v>35</v>
      </c>
      <c r="S229" s="8" t="s">
        <v>1401</v>
      </c>
      <c r="T229" s="7" t="s">
        <v>37</v>
      </c>
    </row>
    <row r="230" customHeight="1" spans="1:20">
      <c r="A230" s="7">
        <v>117184</v>
      </c>
      <c r="B230" s="7" t="s">
        <v>875</v>
      </c>
      <c r="C230" s="7" t="s">
        <v>138</v>
      </c>
      <c r="D230" s="8" t="s">
        <v>1182</v>
      </c>
      <c r="E230" s="7" t="s">
        <v>23</v>
      </c>
      <c r="F230" s="7" t="s">
        <v>461</v>
      </c>
      <c r="G230" s="8" t="s">
        <v>1402</v>
      </c>
      <c r="H230" s="7" t="s">
        <v>1184</v>
      </c>
      <c r="I230" s="11" t="s">
        <v>1185</v>
      </c>
      <c r="J230" s="7" t="s">
        <v>463</v>
      </c>
      <c r="K230" s="7" t="s">
        <v>463</v>
      </c>
      <c r="L230" s="7" t="s">
        <v>877</v>
      </c>
      <c r="M230" s="12" t="s">
        <v>31</v>
      </c>
      <c r="N230" s="7" t="s">
        <v>877</v>
      </c>
      <c r="O230" s="7" t="s">
        <v>726</v>
      </c>
      <c r="P230" s="7" t="s">
        <v>34</v>
      </c>
      <c r="Q230" s="7" t="s">
        <v>34</v>
      </c>
      <c r="R230" s="7" t="s">
        <v>35</v>
      </c>
      <c r="S230" s="8" t="s">
        <v>1403</v>
      </c>
      <c r="T230" s="7" t="s">
        <v>37</v>
      </c>
    </row>
    <row r="231" customHeight="1" spans="1:20">
      <c r="A231" s="7">
        <v>738</v>
      </c>
      <c r="B231" s="7" t="s">
        <v>278</v>
      </c>
      <c r="C231" s="7" t="s">
        <v>138</v>
      </c>
      <c r="D231" s="8" t="s">
        <v>161</v>
      </c>
      <c r="E231" s="7" t="s">
        <v>23</v>
      </c>
      <c r="F231" s="7" t="s">
        <v>24</v>
      </c>
      <c r="G231" s="8" t="s">
        <v>1404</v>
      </c>
      <c r="H231" s="7" t="s">
        <v>1405</v>
      </c>
      <c r="I231" s="11" t="s">
        <v>567</v>
      </c>
      <c r="J231" s="7" t="s">
        <v>1406</v>
      </c>
      <c r="K231" s="7" t="s">
        <v>1407</v>
      </c>
      <c r="L231" s="7" t="s">
        <v>282</v>
      </c>
      <c r="M231" s="12" t="s">
        <v>31</v>
      </c>
      <c r="N231" s="7" t="s">
        <v>32</v>
      </c>
      <c r="O231" s="7" t="s">
        <v>145</v>
      </c>
      <c r="P231" s="7" t="s">
        <v>34</v>
      </c>
      <c r="Q231" s="7" t="s">
        <v>1839</v>
      </c>
      <c r="R231" s="7" t="s">
        <v>35</v>
      </c>
      <c r="S231" s="8" t="s">
        <v>1408</v>
      </c>
      <c r="T231" s="7" t="s">
        <v>37</v>
      </c>
    </row>
    <row r="232" customHeight="1" spans="1:20">
      <c r="A232" s="7">
        <v>738</v>
      </c>
      <c r="B232" s="7" t="s">
        <v>278</v>
      </c>
      <c r="C232" s="7" t="s">
        <v>291</v>
      </c>
      <c r="D232" s="8" t="s">
        <v>292</v>
      </c>
      <c r="E232" s="7" t="s">
        <v>23</v>
      </c>
      <c r="F232" s="7" t="s">
        <v>24</v>
      </c>
      <c r="G232" s="8" t="s">
        <v>1409</v>
      </c>
      <c r="H232" s="7" t="s">
        <v>1405</v>
      </c>
      <c r="I232" s="11" t="s">
        <v>567</v>
      </c>
      <c r="J232" s="7" t="s">
        <v>1410</v>
      </c>
      <c r="K232" s="7" t="s">
        <v>1411</v>
      </c>
      <c r="L232" s="7" t="s">
        <v>282</v>
      </c>
      <c r="M232" s="12" t="s">
        <v>31</v>
      </c>
      <c r="N232" s="7" t="s">
        <v>32</v>
      </c>
      <c r="O232" s="7" t="s">
        <v>145</v>
      </c>
      <c r="P232" s="7" t="s">
        <v>1839</v>
      </c>
      <c r="Q232" s="7" t="s">
        <v>1839</v>
      </c>
      <c r="R232" s="7" t="s">
        <v>35</v>
      </c>
      <c r="S232" s="8" t="s">
        <v>1412</v>
      </c>
      <c r="T232" s="7" t="s">
        <v>37</v>
      </c>
    </row>
    <row r="233" customHeight="1" spans="1:20">
      <c r="A233" s="7">
        <v>738</v>
      </c>
      <c r="B233" s="7" t="s">
        <v>278</v>
      </c>
      <c r="C233" s="7" t="s">
        <v>138</v>
      </c>
      <c r="D233" s="8" t="s">
        <v>152</v>
      </c>
      <c r="E233" s="7" t="s">
        <v>23</v>
      </c>
      <c r="F233" s="7" t="s">
        <v>24</v>
      </c>
      <c r="G233" s="8" t="s">
        <v>1413</v>
      </c>
      <c r="H233" s="7" t="s">
        <v>1405</v>
      </c>
      <c r="I233" s="11" t="s">
        <v>567</v>
      </c>
      <c r="J233" s="7" t="s">
        <v>1414</v>
      </c>
      <c r="K233" s="7" t="s">
        <v>1415</v>
      </c>
      <c r="L233" s="7" t="s">
        <v>282</v>
      </c>
      <c r="M233" s="12" t="s">
        <v>31</v>
      </c>
      <c r="N233" s="7" t="s">
        <v>32</v>
      </c>
      <c r="O233" s="7" t="s">
        <v>145</v>
      </c>
      <c r="P233" s="7" t="s">
        <v>34</v>
      </c>
      <c r="Q233" s="7" t="s">
        <v>1839</v>
      </c>
      <c r="R233" s="7" t="s">
        <v>35</v>
      </c>
      <c r="S233" s="8" t="s">
        <v>1416</v>
      </c>
      <c r="T233" s="7" t="s">
        <v>37</v>
      </c>
    </row>
    <row r="234" customHeight="1" spans="1:20">
      <c r="A234" s="7">
        <v>738</v>
      </c>
      <c r="B234" s="7" t="s">
        <v>278</v>
      </c>
      <c r="C234" s="7" t="s">
        <v>138</v>
      </c>
      <c r="D234" s="8" t="s">
        <v>147</v>
      </c>
      <c r="E234" s="7" t="s">
        <v>23</v>
      </c>
      <c r="F234" s="7" t="s">
        <v>24</v>
      </c>
      <c r="G234" s="8" t="s">
        <v>1413</v>
      </c>
      <c r="H234" s="7" t="s">
        <v>1405</v>
      </c>
      <c r="I234" s="11" t="s">
        <v>567</v>
      </c>
      <c r="J234" s="7" t="s">
        <v>1417</v>
      </c>
      <c r="K234" s="7" t="s">
        <v>1418</v>
      </c>
      <c r="L234" s="7" t="s">
        <v>282</v>
      </c>
      <c r="M234" s="12" t="s">
        <v>31</v>
      </c>
      <c r="N234" s="7" t="s">
        <v>32</v>
      </c>
      <c r="O234" s="7" t="s">
        <v>145</v>
      </c>
      <c r="P234" s="7" t="s">
        <v>34</v>
      </c>
      <c r="Q234" s="7" t="s">
        <v>1839</v>
      </c>
      <c r="R234" s="7" t="s">
        <v>35</v>
      </c>
      <c r="S234" s="8" t="s">
        <v>1419</v>
      </c>
      <c r="T234" s="7" t="s">
        <v>37</v>
      </c>
    </row>
    <row r="235" customHeight="1" spans="1:20">
      <c r="A235" s="7">
        <v>738</v>
      </c>
      <c r="B235" s="7" t="s">
        <v>278</v>
      </c>
      <c r="C235" s="7" t="s">
        <v>138</v>
      </c>
      <c r="D235" s="8" t="s">
        <v>139</v>
      </c>
      <c r="E235" s="7" t="s">
        <v>23</v>
      </c>
      <c r="F235" s="7" t="s">
        <v>24</v>
      </c>
      <c r="G235" s="8" t="s">
        <v>1420</v>
      </c>
      <c r="H235" s="7" t="s">
        <v>1405</v>
      </c>
      <c r="I235" s="11" t="s">
        <v>567</v>
      </c>
      <c r="J235" s="7" t="s">
        <v>1421</v>
      </c>
      <c r="K235" s="7" t="s">
        <v>1422</v>
      </c>
      <c r="L235" s="7" t="s">
        <v>282</v>
      </c>
      <c r="M235" s="12" t="s">
        <v>31</v>
      </c>
      <c r="N235" s="7" t="s">
        <v>32</v>
      </c>
      <c r="O235" s="7" t="s">
        <v>145</v>
      </c>
      <c r="P235" s="7" t="s">
        <v>34</v>
      </c>
      <c r="Q235" s="7" t="s">
        <v>1839</v>
      </c>
      <c r="R235" s="7" t="s">
        <v>35</v>
      </c>
      <c r="S235" s="8" t="s">
        <v>1423</v>
      </c>
      <c r="T235" s="7" t="s">
        <v>37</v>
      </c>
    </row>
    <row r="236" customHeight="1" spans="1:20">
      <c r="A236" s="7">
        <v>738</v>
      </c>
      <c r="B236" s="7" t="s">
        <v>278</v>
      </c>
      <c r="C236" s="7" t="s">
        <v>138</v>
      </c>
      <c r="D236" s="8" t="s">
        <v>156</v>
      </c>
      <c r="E236" s="7" t="s">
        <v>23</v>
      </c>
      <c r="F236" s="7" t="s">
        <v>24</v>
      </c>
      <c r="G236" s="8" t="s">
        <v>1404</v>
      </c>
      <c r="H236" s="7" t="s">
        <v>1405</v>
      </c>
      <c r="I236" s="11" t="s">
        <v>567</v>
      </c>
      <c r="J236" s="7" t="s">
        <v>1464</v>
      </c>
      <c r="K236" s="7" t="s">
        <v>1465</v>
      </c>
      <c r="L236" s="7" t="s">
        <v>282</v>
      </c>
      <c r="M236" s="12" t="s">
        <v>31</v>
      </c>
      <c r="N236" s="7" t="s">
        <v>32</v>
      </c>
      <c r="O236" s="7" t="s">
        <v>145</v>
      </c>
      <c r="P236" s="7" t="s">
        <v>34</v>
      </c>
      <c r="Q236" s="7" t="s">
        <v>1839</v>
      </c>
      <c r="R236" s="7" t="s">
        <v>35</v>
      </c>
      <c r="S236" s="8" t="s">
        <v>1466</v>
      </c>
      <c r="T236" s="7" t="s">
        <v>37</v>
      </c>
    </row>
    <row r="237" customHeight="1" spans="1:20">
      <c r="A237" s="7">
        <v>738</v>
      </c>
      <c r="B237" s="7" t="s">
        <v>278</v>
      </c>
      <c r="C237" s="7" t="s">
        <v>291</v>
      </c>
      <c r="D237" s="8" t="s">
        <v>292</v>
      </c>
      <c r="E237" s="7" t="s">
        <v>23</v>
      </c>
      <c r="F237" s="7" t="s">
        <v>24</v>
      </c>
      <c r="G237" s="8" t="s">
        <v>1467</v>
      </c>
      <c r="H237" s="7" t="s">
        <v>1405</v>
      </c>
      <c r="I237" s="11" t="s">
        <v>567</v>
      </c>
      <c r="J237" s="7" t="s">
        <v>1468</v>
      </c>
      <c r="K237" s="7" t="s">
        <v>1469</v>
      </c>
      <c r="L237" s="7" t="s">
        <v>282</v>
      </c>
      <c r="M237" s="12" t="s">
        <v>31</v>
      </c>
      <c r="N237" s="7" t="s">
        <v>32</v>
      </c>
      <c r="O237" s="7" t="s">
        <v>145</v>
      </c>
      <c r="P237" s="7" t="s">
        <v>1839</v>
      </c>
      <c r="Q237" s="7" t="s">
        <v>1839</v>
      </c>
      <c r="R237" s="7" t="s">
        <v>35</v>
      </c>
      <c r="S237" s="8" t="s">
        <v>1470</v>
      </c>
      <c r="T237" s="7" t="s">
        <v>37</v>
      </c>
    </row>
    <row r="238" customHeight="1" spans="1:20">
      <c r="A238" s="7">
        <v>738</v>
      </c>
      <c r="B238" s="7" t="s">
        <v>278</v>
      </c>
      <c r="C238" s="7" t="s">
        <v>138</v>
      </c>
      <c r="D238" s="8" t="s">
        <v>139</v>
      </c>
      <c r="E238" s="7" t="s">
        <v>23</v>
      </c>
      <c r="F238" s="7" t="s">
        <v>24</v>
      </c>
      <c r="G238" s="8" t="s">
        <v>1404</v>
      </c>
      <c r="H238" s="7" t="s">
        <v>1405</v>
      </c>
      <c r="I238" s="11" t="s">
        <v>567</v>
      </c>
      <c r="J238" s="7" t="s">
        <v>1471</v>
      </c>
      <c r="K238" s="7" t="s">
        <v>1472</v>
      </c>
      <c r="L238" s="7" t="s">
        <v>282</v>
      </c>
      <c r="M238" s="12" t="s">
        <v>31</v>
      </c>
      <c r="N238" s="7" t="s">
        <v>32</v>
      </c>
      <c r="O238" s="7" t="s">
        <v>145</v>
      </c>
      <c r="P238" s="7" t="s">
        <v>34</v>
      </c>
      <c r="Q238" s="7" t="s">
        <v>1839</v>
      </c>
      <c r="R238" s="7" t="s">
        <v>35</v>
      </c>
      <c r="S238" s="8" t="s">
        <v>1473</v>
      </c>
      <c r="T238" s="7" t="s">
        <v>37</v>
      </c>
    </row>
    <row r="239" customHeight="1" spans="1:20">
      <c r="A239" s="7">
        <v>738</v>
      </c>
      <c r="B239" s="7" t="s">
        <v>278</v>
      </c>
      <c r="C239" s="7" t="s">
        <v>138</v>
      </c>
      <c r="D239" s="8" t="s">
        <v>174</v>
      </c>
      <c r="E239" s="7" t="s">
        <v>23</v>
      </c>
      <c r="F239" s="7" t="s">
        <v>24</v>
      </c>
      <c r="G239" s="8" t="s">
        <v>1526</v>
      </c>
      <c r="H239" s="7" t="s">
        <v>1425</v>
      </c>
      <c r="I239" s="11" t="s">
        <v>1184</v>
      </c>
      <c r="J239" s="7" t="s">
        <v>1610</v>
      </c>
      <c r="K239" s="7" t="s">
        <v>1611</v>
      </c>
      <c r="L239" s="7" t="s">
        <v>282</v>
      </c>
      <c r="M239" s="12" t="s">
        <v>31</v>
      </c>
      <c r="N239" s="7" t="s">
        <v>32</v>
      </c>
      <c r="O239" s="7" t="s">
        <v>145</v>
      </c>
      <c r="P239" s="7" t="s">
        <v>34</v>
      </c>
      <c r="Q239" s="7" t="s">
        <v>1839</v>
      </c>
      <c r="R239" s="7" t="s">
        <v>35</v>
      </c>
      <c r="S239" s="8" t="s">
        <v>1612</v>
      </c>
      <c r="T239" s="7" t="s">
        <v>37</v>
      </c>
    </row>
    <row r="240" customHeight="1" spans="1:20">
      <c r="A240" s="7">
        <v>738</v>
      </c>
      <c r="B240" s="7" t="s">
        <v>278</v>
      </c>
      <c r="C240" s="7" t="s">
        <v>291</v>
      </c>
      <c r="D240" s="8" t="s">
        <v>292</v>
      </c>
      <c r="E240" s="7" t="s">
        <v>23</v>
      </c>
      <c r="F240" s="7" t="s">
        <v>24</v>
      </c>
      <c r="G240" s="8" t="s">
        <v>1613</v>
      </c>
      <c r="H240" s="7" t="s">
        <v>1425</v>
      </c>
      <c r="I240" s="11" t="s">
        <v>1184</v>
      </c>
      <c r="J240" s="7" t="s">
        <v>1614</v>
      </c>
      <c r="K240" s="7" t="s">
        <v>1615</v>
      </c>
      <c r="L240" s="7" t="s">
        <v>282</v>
      </c>
      <c r="M240" s="12" t="s">
        <v>31</v>
      </c>
      <c r="N240" s="7" t="s">
        <v>32</v>
      </c>
      <c r="O240" s="7" t="s">
        <v>145</v>
      </c>
      <c r="P240" s="7" t="s">
        <v>1839</v>
      </c>
      <c r="Q240" s="7" t="s">
        <v>1839</v>
      </c>
      <c r="R240" s="7" t="s">
        <v>35</v>
      </c>
      <c r="S240" s="8" t="s">
        <v>1616</v>
      </c>
      <c r="T240" s="7" t="s">
        <v>37</v>
      </c>
    </row>
    <row r="241" customHeight="1" spans="1:20">
      <c r="A241" s="7">
        <v>738</v>
      </c>
      <c r="B241" s="7" t="s">
        <v>278</v>
      </c>
      <c r="C241" s="7" t="s">
        <v>138</v>
      </c>
      <c r="D241" s="8" t="s">
        <v>257</v>
      </c>
      <c r="E241" s="7" t="s">
        <v>23</v>
      </c>
      <c r="F241" s="7" t="s">
        <v>24</v>
      </c>
      <c r="G241" s="8" t="s">
        <v>1617</v>
      </c>
      <c r="H241" s="7" t="s">
        <v>1425</v>
      </c>
      <c r="I241" s="11" t="s">
        <v>1184</v>
      </c>
      <c r="J241" s="7" t="s">
        <v>1618</v>
      </c>
      <c r="K241" s="7" t="s">
        <v>1619</v>
      </c>
      <c r="L241" s="7" t="s">
        <v>282</v>
      </c>
      <c r="M241" s="12" t="s">
        <v>31</v>
      </c>
      <c r="N241" s="7" t="s">
        <v>32</v>
      </c>
      <c r="O241" s="7" t="s">
        <v>145</v>
      </c>
      <c r="P241" s="7" t="s">
        <v>34</v>
      </c>
      <c r="Q241" s="7" t="s">
        <v>1839</v>
      </c>
      <c r="R241" s="7" t="s">
        <v>35</v>
      </c>
      <c r="S241" s="8" t="s">
        <v>1620</v>
      </c>
      <c r="T241" s="7" t="s">
        <v>37</v>
      </c>
    </row>
    <row r="242" customHeight="1" spans="1:20">
      <c r="A242" s="7">
        <v>377</v>
      </c>
      <c r="B242" s="7" t="s">
        <v>1621</v>
      </c>
      <c r="C242" s="7" t="s">
        <v>138</v>
      </c>
      <c r="D242" s="8" t="s">
        <v>257</v>
      </c>
      <c r="E242" s="7" t="s">
        <v>23</v>
      </c>
      <c r="F242" s="7" t="s">
        <v>24</v>
      </c>
      <c r="G242" s="8" t="s">
        <v>1622</v>
      </c>
      <c r="H242" s="7" t="s">
        <v>1623</v>
      </c>
      <c r="I242" s="11" t="s">
        <v>1624</v>
      </c>
      <c r="J242" s="7" t="s">
        <v>1625</v>
      </c>
      <c r="K242" s="7" t="s">
        <v>1626</v>
      </c>
      <c r="L242" s="7" t="s">
        <v>1627</v>
      </c>
      <c r="M242" s="12" t="s">
        <v>31</v>
      </c>
      <c r="N242" s="7" t="s">
        <v>32</v>
      </c>
      <c r="O242" s="7" t="s">
        <v>1173</v>
      </c>
      <c r="P242" s="7" t="s">
        <v>34</v>
      </c>
      <c r="Q242" s="7" t="s">
        <v>1839</v>
      </c>
      <c r="R242" s="7" t="s">
        <v>35</v>
      </c>
      <c r="S242" s="8" t="s">
        <v>1628</v>
      </c>
      <c r="T242" s="7" t="s">
        <v>37</v>
      </c>
    </row>
    <row r="243" customHeight="1" spans="1:20">
      <c r="A243" s="7"/>
      <c r="B243" s="7" t="s">
        <v>1629</v>
      </c>
      <c r="C243" s="7" t="s">
        <v>138</v>
      </c>
      <c r="D243" s="8" t="s">
        <v>156</v>
      </c>
      <c r="E243" s="7" t="s">
        <v>23</v>
      </c>
      <c r="F243" s="7" t="s">
        <v>24</v>
      </c>
      <c r="G243" s="8" t="s">
        <v>1630</v>
      </c>
      <c r="H243" s="7" t="s">
        <v>1623</v>
      </c>
      <c r="I243" s="11" t="s">
        <v>1624</v>
      </c>
      <c r="J243" s="7" t="s">
        <v>1631</v>
      </c>
      <c r="K243" s="7" t="s">
        <v>1632</v>
      </c>
      <c r="L243" s="7" t="s">
        <v>1633</v>
      </c>
      <c r="M243" s="12" t="s">
        <v>31</v>
      </c>
      <c r="N243" s="7" t="s">
        <v>32</v>
      </c>
      <c r="O243" s="7" t="s">
        <v>726</v>
      </c>
      <c r="P243" s="7" t="s">
        <v>34</v>
      </c>
      <c r="Q243" s="7" t="s">
        <v>34</v>
      </c>
      <c r="R243" s="7" t="s">
        <v>35</v>
      </c>
      <c r="S243" s="8" t="s">
        <v>1634</v>
      </c>
      <c r="T243" s="7" t="s">
        <v>37</v>
      </c>
    </row>
    <row r="244" customHeight="1" spans="1:20">
      <c r="A244" s="7"/>
      <c r="B244" s="7" t="s">
        <v>1629</v>
      </c>
      <c r="C244" s="7" t="s">
        <v>138</v>
      </c>
      <c r="D244" s="8" t="s">
        <v>161</v>
      </c>
      <c r="E244" s="7" t="s">
        <v>23</v>
      </c>
      <c r="F244" s="7" t="s">
        <v>24</v>
      </c>
      <c r="G244" s="8" t="s">
        <v>1630</v>
      </c>
      <c r="H244" s="7" t="s">
        <v>1623</v>
      </c>
      <c r="I244" s="11" t="s">
        <v>1624</v>
      </c>
      <c r="J244" s="7" t="s">
        <v>1635</v>
      </c>
      <c r="K244" s="7" t="s">
        <v>1636</v>
      </c>
      <c r="L244" s="7" t="s">
        <v>1633</v>
      </c>
      <c r="M244" s="12" t="s">
        <v>31</v>
      </c>
      <c r="N244" s="7" t="s">
        <v>32</v>
      </c>
      <c r="O244" s="7" t="s">
        <v>726</v>
      </c>
      <c r="P244" s="7" t="s">
        <v>34</v>
      </c>
      <c r="Q244" s="7" t="s">
        <v>34</v>
      </c>
      <c r="R244" s="7" t="s">
        <v>35</v>
      </c>
      <c r="S244" s="8" t="s">
        <v>1637</v>
      </c>
      <c r="T244" s="7" t="s">
        <v>37</v>
      </c>
    </row>
    <row r="245" customHeight="1" spans="1:20">
      <c r="A245" s="7"/>
      <c r="B245" s="7" t="s">
        <v>1629</v>
      </c>
      <c r="C245" s="7" t="s">
        <v>138</v>
      </c>
      <c r="D245" s="8" t="s">
        <v>139</v>
      </c>
      <c r="E245" s="7" t="s">
        <v>23</v>
      </c>
      <c r="F245" s="7" t="s">
        <v>24</v>
      </c>
      <c r="G245" s="8" t="s">
        <v>1630</v>
      </c>
      <c r="H245" s="7" t="s">
        <v>1623</v>
      </c>
      <c r="I245" s="11" t="s">
        <v>1624</v>
      </c>
      <c r="J245" s="7" t="s">
        <v>1638</v>
      </c>
      <c r="K245" s="7" t="s">
        <v>1639</v>
      </c>
      <c r="L245" s="7" t="s">
        <v>1633</v>
      </c>
      <c r="M245" s="12" t="s">
        <v>31</v>
      </c>
      <c r="N245" s="7" t="s">
        <v>32</v>
      </c>
      <c r="O245" s="7" t="s">
        <v>726</v>
      </c>
      <c r="P245" s="7" t="s">
        <v>34</v>
      </c>
      <c r="Q245" s="7" t="s">
        <v>34</v>
      </c>
      <c r="R245" s="7" t="s">
        <v>35</v>
      </c>
      <c r="S245" s="8" t="s">
        <v>1640</v>
      </c>
      <c r="T245" s="7" t="s">
        <v>37</v>
      </c>
    </row>
    <row r="246" customHeight="1" spans="1:20">
      <c r="A246" s="7"/>
      <c r="B246" s="7" t="s">
        <v>1629</v>
      </c>
      <c r="C246" s="7" t="s">
        <v>798</v>
      </c>
      <c r="D246" s="8" t="s">
        <v>1641</v>
      </c>
      <c r="E246" s="7" t="s">
        <v>23</v>
      </c>
      <c r="F246" s="7" t="s">
        <v>800</v>
      </c>
      <c r="G246" s="8" t="s">
        <v>1642</v>
      </c>
      <c r="H246" s="7" t="s">
        <v>1405</v>
      </c>
      <c r="I246" s="11" t="s">
        <v>567</v>
      </c>
      <c r="J246" s="7" t="s">
        <v>1643</v>
      </c>
      <c r="K246" s="7" t="s">
        <v>463</v>
      </c>
      <c r="L246" s="7" t="s">
        <v>1633</v>
      </c>
      <c r="M246" s="12" t="s">
        <v>31</v>
      </c>
      <c r="N246" s="7" t="s">
        <v>1644</v>
      </c>
      <c r="O246" s="7" t="s">
        <v>1644</v>
      </c>
      <c r="P246" s="7" t="s">
        <v>34</v>
      </c>
      <c r="Q246" s="7" t="s">
        <v>34</v>
      </c>
      <c r="R246" s="7" t="s">
        <v>60</v>
      </c>
      <c r="S246" s="8" t="s">
        <v>1645</v>
      </c>
      <c r="T246" s="7" t="s">
        <v>37</v>
      </c>
    </row>
    <row r="247" customHeight="1" spans="1:20">
      <c r="A247" s="7"/>
      <c r="B247" s="7" t="s">
        <v>1629</v>
      </c>
      <c r="C247" s="7" t="s">
        <v>833</v>
      </c>
      <c r="D247" s="8" t="s">
        <v>84</v>
      </c>
      <c r="E247" s="7" t="s">
        <v>23</v>
      </c>
      <c r="F247" s="7" t="s">
        <v>800</v>
      </c>
      <c r="G247" s="8" t="s">
        <v>1642</v>
      </c>
      <c r="H247" s="7" t="s">
        <v>1405</v>
      </c>
      <c r="I247" s="11" t="s">
        <v>567</v>
      </c>
      <c r="J247" s="7" t="s">
        <v>1646</v>
      </c>
      <c r="K247" s="7" t="s">
        <v>463</v>
      </c>
      <c r="L247" s="7" t="s">
        <v>1633</v>
      </c>
      <c r="M247" s="12" t="s">
        <v>31</v>
      </c>
      <c r="N247" s="7" t="s">
        <v>1644</v>
      </c>
      <c r="O247" s="7" t="s">
        <v>1644</v>
      </c>
      <c r="P247" s="7" t="s">
        <v>34</v>
      </c>
      <c r="Q247" s="7" t="s">
        <v>34</v>
      </c>
      <c r="R247" s="7" t="s">
        <v>60</v>
      </c>
      <c r="S247" s="8" t="s">
        <v>1647</v>
      </c>
      <c r="T247" s="7" t="s">
        <v>37</v>
      </c>
    </row>
    <row r="248" customHeight="1" spans="1:20">
      <c r="A248" s="7">
        <v>103198</v>
      </c>
      <c r="B248" s="7" t="s">
        <v>323</v>
      </c>
      <c r="C248" s="7" t="s">
        <v>21</v>
      </c>
      <c r="D248" s="8" t="s">
        <v>22</v>
      </c>
      <c r="E248" s="7" t="s">
        <v>23</v>
      </c>
      <c r="F248" s="7" t="s">
        <v>24</v>
      </c>
      <c r="G248" s="8" t="s">
        <v>1648</v>
      </c>
      <c r="H248" s="7" t="s">
        <v>567</v>
      </c>
      <c r="I248" s="11" t="s">
        <v>568</v>
      </c>
      <c r="J248" s="7" t="s">
        <v>1649</v>
      </c>
      <c r="K248" s="7" t="s">
        <v>1650</v>
      </c>
      <c r="L248" s="7" t="s">
        <v>327</v>
      </c>
      <c r="M248" s="12" t="s">
        <v>31</v>
      </c>
      <c r="N248" s="7" t="s">
        <v>32</v>
      </c>
      <c r="O248" s="7" t="s">
        <v>197</v>
      </c>
      <c r="P248" s="7" t="s">
        <v>34</v>
      </c>
      <c r="Q248" s="7" t="s">
        <v>1839</v>
      </c>
      <c r="R248" s="7" t="s">
        <v>35</v>
      </c>
      <c r="S248" s="8" t="s">
        <v>1651</v>
      </c>
      <c r="T248" s="7" t="s">
        <v>37</v>
      </c>
    </row>
    <row r="249" customHeight="1" spans="1:20">
      <c r="A249" s="7">
        <v>727</v>
      </c>
      <c r="B249" s="7" t="s">
        <v>397</v>
      </c>
      <c r="C249" s="7" t="s">
        <v>138</v>
      </c>
      <c r="D249" s="8" t="s">
        <v>257</v>
      </c>
      <c r="E249" s="7" t="s">
        <v>23</v>
      </c>
      <c r="F249" s="7" t="s">
        <v>24</v>
      </c>
      <c r="G249" s="8" t="s">
        <v>1652</v>
      </c>
      <c r="H249" s="7" t="s">
        <v>1623</v>
      </c>
      <c r="I249" s="11" t="s">
        <v>1624</v>
      </c>
      <c r="J249" s="7" t="s">
        <v>1653</v>
      </c>
      <c r="K249" s="7" t="s">
        <v>1654</v>
      </c>
      <c r="L249" s="7" t="s">
        <v>401</v>
      </c>
      <c r="M249" s="12" t="s">
        <v>31</v>
      </c>
      <c r="N249" s="7" t="s">
        <v>32</v>
      </c>
      <c r="O249" s="7" t="s">
        <v>197</v>
      </c>
      <c r="P249" s="7" t="s">
        <v>34</v>
      </c>
      <c r="Q249" s="7" t="s">
        <v>1839</v>
      </c>
      <c r="R249" s="7" t="s">
        <v>35</v>
      </c>
      <c r="S249" s="8" t="s">
        <v>1655</v>
      </c>
      <c r="T249" s="7" t="s">
        <v>37</v>
      </c>
    </row>
    <row r="250" customHeight="1" spans="1:20">
      <c r="A250" s="7">
        <v>103198</v>
      </c>
      <c r="B250" s="7" t="s">
        <v>323</v>
      </c>
      <c r="C250" s="7" t="s">
        <v>138</v>
      </c>
      <c r="D250" s="8" t="s">
        <v>174</v>
      </c>
      <c r="E250" s="7" t="s">
        <v>23</v>
      </c>
      <c r="F250" s="7" t="s">
        <v>24</v>
      </c>
      <c r="G250" s="8" t="s">
        <v>1698</v>
      </c>
      <c r="H250" s="7" t="s">
        <v>567</v>
      </c>
      <c r="I250" s="11" t="s">
        <v>568</v>
      </c>
      <c r="J250" s="7" t="s">
        <v>1699</v>
      </c>
      <c r="K250" s="7" t="s">
        <v>1700</v>
      </c>
      <c r="L250" s="7" t="s">
        <v>327</v>
      </c>
      <c r="M250" s="12" t="s">
        <v>31</v>
      </c>
      <c r="N250" s="7" t="s">
        <v>32</v>
      </c>
      <c r="O250" s="7" t="s">
        <v>197</v>
      </c>
      <c r="P250" s="7" t="s">
        <v>34</v>
      </c>
      <c r="Q250" s="7" t="s">
        <v>1839</v>
      </c>
      <c r="R250" s="7" t="s">
        <v>35</v>
      </c>
      <c r="S250" s="8" t="s">
        <v>1701</v>
      </c>
      <c r="T250" s="7" t="s">
        <v>37</v>
      </c>
    </row>
    <row r="251" customHeight="1" spans="1:20">
      <c r="A251" s="7">
        <v>103198</v>
      </c>
      <c r="B251" s="7" t="s">
        <v>323</v>
      </c>
      <c r="C251" s="7" t="s">
        <v>138</v>
      </c>
      <c r="D251" s="8" t="s">
        <v>179</v>
      </c>
      <c r="E251" s="7" t="s">
        <v>23</v>
      </c>
      <c r="F251" s="7" t="s">
        <v>24</v>
      </c>
      <c r="G251" s="8" t="s">
        <v>1698</v>
      </c>
      <c r="H251" s="7" t="s">
        <v>567</v>
      </c>
      <c r="I251" s="11" t="s">
        <v>568</v>
      </c>
      <c r="J251" s="7" t="s">
        <v>1702</v>
      </c>
      <c r="K251" s="7" t="s">
        <v>1703</v>
      </c>
      <c r="L251" s="7" t="s">
        <v>327</v>
      </c>
      <c r="M251" s="12" t="s">
        <v>31</v>
      </c>
      <c r="N251" s="7" t="s">
        <v>32</v>
      </c>
      <c r="O251" s="7" t="s">
        <v>197</v>
      </c>
      <c r="P251" s="7" t="s">
        <v>34</v>
      </c>
      <c r="Q251" s="7" t="s">
        <v>1839</v>
      </c>
      <c r="R251" s="7" t="s">
        <v>35</v>
      </c>
      <c r="S251" s="8" t="s">
        <v>1704</v>
      </c>
      <c r="T251" s="7" t="s">
        <v>37</v>
      </c>
    </row>
    <row r="252" customHeight="1" spans="1:20">
      <c r="A252" s="7">
        <v>103198</v>
      </c>
      <c r="B252" s="7" t="s">
        <v>323</v>
      </c>
      <c r="C252" s="7" t="s">
        <v>138</v>
      </c>
      <c r="D252" s="8" t="s">
        <v>183</v>
      </c>
      <c r="E252" s="7" t="s">
        <v>23</v>
      </c>
      <c r="F252" s="7" t="s">
        <v>24</v>
      </c>
      <c r="G252" s="8" t="s">
        <v>1698</v>
      </c>
      <c r="H252" s="7" t="s">
        <v>567</v>
      </c>
      <c r="I252" s="11" t="s">
        <v>568</v>
      </c>
      <c r="J252" s="7" t="s">
        <v>1705</v>
      </c>
      <c r="K252" s="7" t="s">
        <v>1706</v>
      </c>
      <c r="L252" s="7" t="s">
        <v>327</v>
      </c>
      <c r="M252" s="12" t="s">
        <v>31</v>
      </c>
      <c r="N252" s="7" t="s">
        <v>32</v>
      </c>
      <c r="O252" s="7" t="s">
        <v>197</v>
      </c>
      <c r="P252" s="7" t="s">
        <v>34</v>
      </c>
      <c r="Q252" s="7" t="s">
        <v>1839</v>
      </c>
      <c r="R252" s="7" t="s">
        <v>35</v>
      </c>
      <c r="S252" s="8" t="s">
        <v>1707</v>
      </c>
      <c r="T252" s="7" t="s">
        <v>37</v>
      </c>
    </row>
    <row r="253" customHeight="1" spans="1:20">
      <c r="A253" s="7">
        <v>373</v>
      </c>
      <c r="B253" s="7" t="s">
        <v>1708</v>
      </c>
      <c r="C253" s="7" t="s">
        <v>138</v>
      </c>
      <c r="D253" s="8" t="s">
        <v>161</v>
      </c>
      <c r="E253" s="7" t="s">
        <v>23</v>
      </c>
      <c r="F253" s="7" t="s">
        <v>24</v>
      </c>
      <c r="G253" s="8" t="s">
        <v>1709</v>
      </c>
      <c r="H253" s="7" t="s">
        <v>1623</v>
      </c>
      <c r="I253" s="11" t="s">
        <v>1624</v>
      </c>
      <c r="J253" s="7" t="s">
        <v>1710</v>
      </c>
      <c r="K253" s="7" t="s">
        <v>1711</v>
      </c>
      <c r="L253" s="7" t="s">
        <v>1712</v>
      </c>
      <c r="M253" s="12" t="s">
        <v>31</v>
      </c>
      <c r="N253" s="7" t="s">
        <v>32</v>
      </c>
      <c r="O253" s="7" t="s">
        <v>726</v>
      </c>
      <c r="P253" s="7" t="s">
        <v>34</v>
      </c>
      <c r="Q253" s="7" t="s">
        <v>1839</v>
      </c>
      <c r="R253" s="7" t="s">
        <v>35</v>
      </c>
      <c r="S253" s="8" t="s">
        <v>1713</v>
      </c>
      <c r="T253" s="7" t="s">
        <v>37</v>
      </c>
    </row>
    <row r="254" customHeight="1" spans="1:20">
      <c r="A254" s="7">
        <v>373</v>
      </c>
      <c r="B254" s="7" t="s">
        <v>1708</v>
      </c>
      <c r="C254" s="7" t="s">
        <v>138</v>
      </c>
      <c r="D254" s="8" t="s">
        <v>139</v>
      </c>
      <c r="E254" s="7" t="s">
        <v>23</v>
      </c>
      <c r="F254" s="7" t="s">
        <v>24</v>
      </c>
      <c r="G254" s="8" t="s">
        <v>1709</v>
      </c>
      <c r="H254" s="7" t="s">
        <v>1623</v>
      </c>
      <c r="I254" s="11" t="s">
        <v>1624</v>
      </c>
      <c r="J254" s="7" t="s">
        <v>1714</v>
      </c>
      <c r="K254" s="7" t="s">
        <v>1715</v>
      </c>
      <c r="L254" s="7" t="s">
        <v>1712</v>
      </c>
      <c r="M254" s="12" t="s">
        <v>31</v>
      </c>
      <c r="N254" s="7" t="s">
        <v>32</v>
      </c>
      <c r="O254" s="7" t="s">
        <v>726</v>
      </c>
      <c r="P254" s="7" t="s">
        <v>34</v>
      </c>
      <c r="Q254" s="7" t="s">
        <v>1839</v>
      </c>
      <c r="R254" s="7" t="s">
        <v>35</v>
      </c>
      <c r="S254" s="8" t="s">
        <v>1716</v>
      </c>
      <c r="T254" s="7" t="s">
        <v>37</v>
      </c>
    </row>
    <row r="255" customHeight="1" spans="1:20">
      <c r="A255" s="7">
        <v>373</v>
      </c>
      <c r="B255" s="7" t="s">
        <v>1708</v>
      </c>
      <c r="C255" s="7" t="s">
        <v>138</v>
      </c>
      <c r="D255" s="8" t="s">
        <v>156</v>
      </c>
      <c r="E255" s="7" t="s">
        <v>23</v>
      </c>
      <c r="F255" s="7" t="s">
        <v>24</v>
      </c>
      <c r="G255" s="8" t="s">
        <v>1709</v>
      </c>
      <c r="H255" s="7" t="s">
        <v>1623</v>
      </c>
      <c r="I255" s="11" t="s">
        <v>1624</v>
      </c>
      <c r="J255" s="7" t="s">
        <v>1717</v>
      </c>
      <c r="K255" s="7" t="s">
        <v>1718</v>
      </c>
      <c r="L255" s="7" t="s">
        <v>1712</v>
      </c>
      <c r="M255" s="12" t="s">
        <v>31</v>
      </c>
      <c r="N255" s="7" t="s">
        <v>32</v>
      </c>
      <c r="O255" s="7" t="s">
        <v>726</v>
      </c>
      <c r="P255" s="7" t="s">
        <v>34</v>
      </c>
      <c r="Q255" s="7" t="s">
        <v>1839</v>
      </c>
      <c r="R255" s="7" t="s">
        <v>35</v>
      </c>
      <c r="S255" s="8" t="s">
        <v>1719</v>
      </c>
      <c r="T255" s="7" t="s">
        <v>37</v>
      </c>
    </row>
    <row r="256" customHeight="1" spans="1:20">
      <c r="A256" s="7">
        <v>113299</v>
      </c>
      <c r="B256" s="7" t="s">
        <v>1720</v>
      </c>
      <c r="C256" s="7" t="s">
        <v>138</v>
      </c>
      <c r="D256" s="8" t="s">
        <v>156</v>
      </c>
      <c r="E256" s="7" t="s">
        <v>23</v>
      </c>
      <c r="F256" s="7" t="s">
        <v>24</v>
      </c>
      <c r="G256" s="8" t="s">
        <v>1721</v>
      </c>
      <c r="H256" s="7" t="s">
        <v>1623</v>
      </c>
      <c r="I256" s="11" t="s">
        <v>1624</v>
      </c>
      <c r="J256" s="7" t="s">
        <v>1722</v>
      </c>
      <c r="K256" s="7" t="s">
        <v>1723</v>
      </c>
      <c r="L256" s="7" t="s">
        <v>1724</v>
      </c>
      <c r="M256" s="12" t="s">
        <v>31</v>
      </c>
      <c r="N256" s="7" t="s">
        <v>32</v>
      </c>
      <c r="O256" s="7" t="s">
        <v>726</v>
      </c>
      <c r="P256" s="7" t="s">
        <v>34</v>
      </c>
      <c r="Q256" s="7" t="s">
        <v>1839</v>
      </c>
      <c r="R256" s="7" t="s">
        <v>35</v>
      </c>
      <c r="S256" s="8" t="s">
        <v>1725</v>
      </c>
      <c r="T256" s="7" t="s">
        <v>37</v>
      </c>
    </row>
    <row r="257" customHeight="1" spans="1:20">
      <c r="A257" s="7">
        <v>113299</v>
      </c>
      <c r="B257" s="7" t="s">
        <v>1720</v>
      </c>
      <c r="C257" s="7" t="s">
        <v>138</v>
      </c>
      <c r="D257" s="8" t="s">
        <v>161</v>
      </c>
      <c r="E257" s="7" t="s">
        <v>23</v>
      </c>
      <c r="F257" s="7" t="s">
        <v>24</v>
      </c>
      <c r="G257" s="8" t="s">
        <v>1721</v>
      </c>
      <c r="H257" s="7" t="s">
        <v>1623</v>
      </c>
      <c r="I257" s="11" t="s">
        <v>1624</v>
      </c>
      <c r="J257" s="7" t="s">
        <v>1726</v>
      </c>
      <c r="K257" s="7" t="s">
        <v>1727</v>
      </c>
      <c r="L257" s="7" t="s">
        <v>1724</v>
      </c>
      <c r="M257" s="12" t="s">
        <v>31</v>
      </c>
      <c r="N257" s="7" t="s">
        <v>32</v>
      </c>
      <c r="O257" s="7" t="s">
        <v>726</v>
      </c>
      <c r="P257" s="7" t="s">
        <v>34</v>
      </c>
      <c r="Q257" s="7" t="s">
        <v>1839</v>
      </c>
      <c r="R257" s="7" t="s">
        <v>35</v>
      </c>
      <c r="S257" s="8" t="s">
        <v>1728</v>
      </c>
      <c r="T257" s="7" t="s">
        <v>37</v>
      </c>
    </row>
    <row r="258" customHeight="1" spans="1:20">
      <c r="A258" s="7">
        <v>111219</v>
      </c>
      <c r="B258" s="7" t="s">
        <v>191</v>
      </c>
      <c r="C258" s="7" t="s">
        <v>138</v>
      </c>
      <c r="D258" s="8" t="s">
        <v>257</v>
      </c>
      <c r="E258" s="7" t="s">
        <v>23</v>
      </c>
      <c r="F258" s="7" t="s">
        <v>24</v>
      </c>
      <c r="G258" s="8" t="s">
        <v>1729</v>
      </c>
      <c r="H258" s="7" t="s">
        <v>1623</v>
      </c>
      <c r="I258" s="11" t="s">
        <v>1624</v>
      </c>
      <c r="J258" s="7" t="s">
        <v>1730</v>
      </c>
      <c r="K258" s="7" t="s">
        <v>1731</v>
      </c>
      <c r="L258" s="7" t="s">
        <v>196</v>
      </c>
      <c r="M258" s="12" t="s">
        <v>31</v>
      </c>
      <c r="N258" s="7" t="s">
        <v>32</v>
      </c>
      <c r="O258" s="7" t="s">
        <v>197</v>
      </c>
      <c r="P258" s="7" t="s">
        <v>34</v>
      </c>
      <c r="Q258" s="7" t="s">
        <v>34</v>
      </c>
      <c r="R258" s="7" t="s">
        <v>35</v>
      </c>
      <c r="S258" s="8" t="s">
        <v>1732</v>
      </c>
      <c r="T258" s="7" t="s">
        <v>37</v>
      </c>
    </row>
    <row r="259" customHeight="1" spans="1:20">
      <c r="A259" s="7">
        <v>111219</v>
      </c>
      <c r="B259" s="7" t="s">
        <v>191</v>
      </c>
      <c r="C259" s="7" t="s">
        <v>138</v>
      </c>
      <c r="D259" s="8" t="s">
        <v>156</v>
      </c>
      <c r="E259" s="7" t="s">
        <v>23</v>
      </c>
      <c r="F259" s="7" t="s">
        <v>24</v>
      </c>
      <c r="G259" s="8" t="s">
        <v>1733</v>
      </c>
      <c r="H259" s="7" t="s">
        <v>1405</v>
      </c>
      <c r="I259" s="11" t="s">
        <v>567</v>
      </c>
      <c r="J259" s="7" t="s">
        <v>1734</v>
      </c>
      <c r="K259" s="7" t="s">
        <v>1735</v>
      </c>
      <c r="L259" s="7" t="s">
        <v>196</v>
      </c>
      <c r="M259" s="12" t="s">
        <v>31</v>
      </c>
      <c r="N259" s="7" t="s">
        <v>32</v>
      </c>
      <c r="O259" s="7" t="s">
        <v>197</v>
      </c>
      <c r="P259" s="7" t="s">
        <v>34</v>
      </c>
      <c r="Q259" s="7" t="s">
        <v>34</v>
      </c>
      <c r="R259" s="7" t="s">
        <v>35</v>
      </c>
      <c r="S259" s="8" t="s">
        <v>1736</v>
      </c>
      <c r="T259" s="7" t="s">
        <v>37</v>
      </c>
    </row>
    <row r="260" customHeight="1" spans="1:20">
      <c r="A260" s="7">
        <v>111219</v>
      </c>
      <c r="B260" s="7" t="s">
        <v>191</v>
      </c>
      <c r="C260" s="7" t="s">
        <v>138</v>
      </c>
      <c r="D260" s="8" t="s">
        <v>161</v>
      </c>
      <c r="E260" s="7" t="s">
        <v>23</v>
      </c>
      <c r="F260" s="7" t="s">
        <v>24</v>
      </c>
      <c r="G260" s="8" t="s">
        <v>1733</v>
      </c>
      <c r="H260" s="7" t="s">
        <v>1405</v>
      </c>
      <c r="I260" s="11" t="s">
        <v>567</v>
      </c>
      <c r="J260" s="7" t="s">
        <v>1737</v>
      </c>
      <c r="K260" s="7" t="s">
        <v>1738</v>
      </c>
      <c r="L260" s="7" t="s">
        <v>196</v>
      </c>
      <c r="M260" s="12" t="s">
        <v>31</v>
      </c>
      <c r="N260" s="7" t="s">
        <v>32</v>
      </c>
      <c r="O260" s="7" t="s">
        <v>197</v>
      </c>
      <c r="P260" s="7" t="s">
        <v>34</v>
      </c>
      <c r="Q260" s="7" t="s">
        <v>34</v>
      </c>
      <c r="R260" s="7" t="s">
        <v>35</v>
      </c>
      <c r="S260" s="8" t="s">
        <v>1739</v>
      </c>
      <c r="T260" s="7" t="s">
        <v>37</v>
      </c>
    </row>
    <row r="261" customHeight="1" spans="1:20">
      <c r="A261" s="7">
        <v>111219</v>
      </c>
      <c r="B261" s="7" t="s">
        <v>191</v>
      </c>
      <c r="C261" s="7" t="s">
        <v>138</v>
      </c>
      <c r="D261" s="8" t="s">
        <v>139</v>
      </c>
      <c r="E261" s="7" t="s">
        <v>23</v>
      </c>
      <c r="F261" s="7" t="s">
        <v>24</v>
      </c>
      <c r="G261" s="8" t="s">
        <v>1733</v>
      </c>
      <c r="H261" s="7" t="s">
        <v>1405</v>
      </c>
      <c r="I261" s="11" t="s">
        <v>567</v>
      </c>
      <c r="J261" s="7" t="s">
        <v>1740</v>
      </c>
      <c r="K261" s="7" t="s">
        <v>1741</v>
      </c>
      <c r="L261" s="7" t="s">
        <v>196</v>
      </c>
      <c r="M261" s="12" t="s">
        <v>31</v>
      </c>
      <c r="N261" s="7" t="s">
        <v>32</v>
      </c>
      <c r="O261" s="7" t="s">
        <v>197</v>
      </c>
      <c r="P261" s="7" t="s">
        <v>34</v>
      </c>
      <c r="Q261" s="7" t="s">
        <v>34</v>
      </c>
      <c r="R261" s="7" t="s">
        <v>35</v>
      </c>
      <c r="S261" s="8" t="s">
        <v>1742</v>
      </c>
      <c r="T261" s="7" t="s">
        <v>37</v>
      </c>
    </row>
    <row r="262" customHeight="1" spans="1:20">
      <c r="A262" s="7">
        <v>744</v>
      </c>
      <c r="B262" s="7" t="s">
        <v>1743</v>
      </c>
      <c r="C262" s="7" t="s">
        <v>138</v>
      </c>
      <c r="D262" s="8" t="s">
        <v>156</v>
      </c>
      <c r="E262" s="7" t="s">
        <v>23</v>
      </c>
      <c r="F262" s="7" t="s">
        <v>24</v>
      </c>
      <c r="G262" s="8" t="s">
        <v>1744</v>
      </c>
      <c r="H262" s="7" t="s">
        <v>1623</v>
      </c>
      <c r="I262" s="11" t="s">
        <v>1624</v>
      </c>
      <c r="J262" s="7" t="s">
        <v>1745</v>
      </c>
      <c r="K262" s="7" t="s">
        <v>1746</v>
      </c>
      <c r="L262" s="7" t="s">
        <v>1747</v>
      </c>
      <c r="M262" s="12" t="s">
        <v>31</v>
      </c>
      <c r="N262" s="7" t="s">
        <v>32</v>
      </c>
      <c r="O262" s="7" t="s">
        <v>726</v>
      </c>
      <c r="P262" s="7" t="s">
        <v>34</v>
      </c>
      <c r="Q262" s="7" t="s">
        <v>1839</v>
      </c>
      <c r="R262" s="7" t="s">
        <v>35</v>
      </c>
      <c r="S262" s="8" t="s">
        <v>1748</v>
      </c>
      <c r="T262" s="7" t="s">
        <v>37</v>
      </c>
    </row>
    <row r="263" customHeight="1" spans="1:20">
      <c r="A263" s="7">
        <v>744</v>
      </c>
      <c r="B263" s="7" t="s">
        <v>1743</v>
      </c>
      <c r="C263" s="7" t="s">
        <v>138</v>
      </c>
      <c r="D263" s="8" t="s">
        <v>161</v>
      </c>
      <c r="E263" s="7" t="s">
        <v>23</v>
      </c>
      <c r="F263" s="7" t="s">
        <v>24</v>
      </c>
      <c r="G263" s="8" t="s">
        <v>1744</v>
      </c>
      <c r="H263" s="7" t="s">
        <v>1623</v>
      </c>
      <c r="I263" s="11" t="s">
        <v>1624</v>
      </c>
      <c r="J263" s="7" t="s">
        <v>1749</v>
      </c>
      <c r="K263" s="7" t="s">
        <v>1750</v>
      </c>
      <c r="L263" s="7" t="s">
        <v>1747</v>
      </c>
      <c r="M263" s="12" t="s">
        <v>31</v>
      </c>
      <c r="N263" s="7" t="s">
        <v>32</v>
      </c>
      <c r="O263" s="7" t="s">
        <v>726</v>
      </c>
      <c r="P263" s="7" t="s">
        <v>34</v>
      </c>
      <c r="Q263" s="7" t="s">
        <v>1839</v>
      </c>
      <c r="R263" s="7" t="s">
        <v>35</v>
      </c>
      <c r="S263" s="8" t="s">
        <v>1751</v>
      </c>
      <c r="T263" s="7" t="s">
        <v>37</v>
      </c>
    </row>
    <row r="264" customHeight="1" spans="1:20">
      <c r="A264" s="7">
        <v>744</v>
      </c>
      <c r="B264" s="7" t="s">
        <v>1743</v>
      </c>
      <c r="C264" s="7" t="s">
        <v>138</v>
      </c>
      <c r="D264" s="8" t="s">
        <v>139</v>
      </c>
      <c r="E264" s="7" t="s">
        <v>23</v>
      </c>
      <c r="F264" s="7" t="s">
        <v>24</v>
      </c>
      <c r="G264" s="8" t="s">
        <v>1744</v>
      </c>
      <c r="H264" s="7" t="s">
        <v>1623</v>
      </c>
      <c r="I264" s="11" t="s">
        <v>1624</v>
      </c>
      <c r="J264" s="7" t="s">
        <v>1752</v>
      </c>
      <c r="K264" s="7" t="s">
        <v>1753</v>
      </c>
      <c r="L264" s="7" t="s">
        <v>1747</v>
      </c>
      <c r="M264" s="12" t="s">
        <v>31</v>
      </c>
      <c r="N264" s="7" t="s">
        <v>32</v>
      </c>
      <c r="O264" s="7" t="s">
        <v>726</v>
      </c>
      <c r="P264" s="7" t="s">
        <v>34</v>
      </c>
      <c r="Q264" s="7" t="s">
        <v>1839</v>
      </c>
      <c r="R264" s="7" t="s">
        <v>35</v>
      </c>
      <c r="S264" s="8" t="s">
        <v>1754</v>
      </c>
      <c r="T264" s="7" t="s">
        <v>37</v>
      </c>
    </row>
    <row r="265" customHeight="1" spans="1:20">
      <c r="A265" s="7">
        <v>337</v>
      </c>
      <c r="B265" s="7" t="s">
        <v>1755</v>
      </c>
      <c r="C265" s="7" t="s">
        <v>138</v>
      </c>
      <c r="D265" s="8" t="s">
        <v>161</v>
      </c>
      <c r="E265" s="7" t="s">
        <v>23</v>
      </c>
      <c r="F265" s="7" t="s">
        <v>24</v>
      </c>
      <c r="G265" s="8" t="s">
        <v>1756</v>
      </c>
      <c r="H265" s="7" t="s">
        <v>1623</v>
      </c>
      <c r="I265" s="11" t="s">
        <v>1624</v>
      </c>
      <c r="J265" s="7" t="s">
        <v>1757</v>
      </c>
      <c r="K265" s="7" t="s">
        <v>1758</v>
      </c>
      <c r="L265" s="7" t="s">
        <v>1724</v>
      </c>
      <c r="M265" s="12" t="s">
        <v>31</v>
      </c>
      <c r="N265" s="7" t="s">
        <v>32</v>
      </c>
      <c r="O265" s="7" t="s">
        <v>726</v>
      </c>
      <c r="P265" s="7" t="s">
        <v>34</v>
      </c>
      <c r="Q265" s="7" t="s">
        <v>1839</v>
      </c>
      <c r="R265" s="7" t="s">
        <v>35</v>
      </c>
      <c r="S265" s="8" t="s">
        <v>1759</v>
      </c>
      <c r="T265" s="7" t="s">
        <v>37</v>
      </c>
    </row>
    <row r="266" customHeight="1" spans="1:20">
      <c r="A266" s="7">
        <v>724</v>
      </c>
      <c r="B266" s="7" t="s">
        <v>1760</v>
      </c>
      <c r="C266" s="7" t="s">
        <v>138</v>
      </c>
      <c r="D266" s="8" t="s">
        <v>156</v>
      </c>
      <c r="E266" s="7" t="s">
        <v>23</v>
      </c>
      <c r="F266" s="7" t="s">
        <v>24</v>
      </c>
      <c r="G266" s="8" t="s">
        <v>1761</v>
      </c>
      <c r="H266" s="7" t="s">
        <v>1623</v>
      </c>
      <c r="I266" s="11" t="s">
        <v>1624</v>
      </c>
      <c r="J266" s="7" t="s">
        <v>1762</v>
      </c>
      <c r="K266" s="7" t="s">
        <v>1763</v>
      </c>
      <c r="L266" s="7" t="s">
        <v>1764</v>
      </c>
      <c r="M266" s="12" t="s">
        <v>31</v>
      </c>
      <c r="N266" s="7" t="s">
        <v>32</v>
      </c>
      <c r="O266" s="7" t="s">
        <v>726</v>
      </c>
      <c r="P266" s="7" t="s">
        <v>34</v>
      </c>
      <c r="Q266" s="7" t="s">
        <v>1839</v>
      </c>
      <c r="R266" s="7" t="s">
        <v>35</v>
      </c>
      <c r="S266" s="8" t="s">
        <v>1765</v>
      </c>
      <c r="T266" s="7" t="s">
        <v>37</v>
      </c>
    </row>
    <row r="267" customHeight="1" spans="1:20">
      <c r="A267" s="7">
        <v>724</v>
      </c>
      <c r="B267" s="7" t="s">
        <v>1760</v>
      </c>
      <c r="C267" s="7" t="s">
        <v>138</v>
      </c>
      <c r="D267" s="8" t="s">
        <v>161</v>
      </c>
      <c r="E267" s="7" t="s">
        <v>23</v>
      </c>
      <c r="F267" s="7" t="s">
        <v>24</v>
      </c>
      <c r="G267" s="8" t="s">
        <v>1761</v>
      </c>
      <c r="H267" s="7" t="s">
        <v>1623</v>
      </c>
      <c r="I267" s="11" t="s">
        <v>1624</v>
      </c>
      <c r="J267" s="7" t="s">
        <v>1766</v>
      </c>
      <c r="K267" s="7" t="s">
        <v>1767</v>
      </c>
      <c r="L267" s="7" t="s">
        <v>1764</v>
      </c>
      <c r="M267" s="12" t="s">
        <v>31</v>
      </c>
      <c r="N267" s="7" t="s">
        <v>32</v>
      </c>
      <c r="O267" s="7" t="s">
        <v>726</v>
      </c>
      <c r="P267" s="7" t="s">
        <v>34</v>
      </c>
      <c r="Q267" s="7" t="s">
        <v>1839</v>
      </c>
      <c r="R267" s="7" t="s">
        <v>35</v>
      </c>
      <c r="S267" s="8" t="s">
        <v>1768</v>
      </c>
      <c r="T267" s="7" t="s">
        <v>37</v>
      </c>
    </row>
    <row r="268" customHeight="1" spans="1:20">
      <c r="A268" s="7">
        <v>724</v>
      </c>
      <c r="B268" s="7" t="s">
        <v>1760</v>
      </c>
      <c r="C268" s="7" t="s">
        <v>138</v>
      </c>
      <c r="D268" s="8" t="s">
        <v>139</v>
      </c>
      <c r="E268" s="7" t="s">
        <v>23</v>
      </c>
      <c r="F268" s="7" t="s">
        <v>24</v>
      </c>
      <c r="G268" s="8" t="s">
        <v>1761</v>
      </c>
      <c r="H268" s="7" t="s">
        <v>1623</v>
      </c>
      <c r="I268" s="11" t="s">
        <v>1624</v>
      </c>
      <c r="J268" s="7" t="s">
        <v>1769</v>
      </c>
      <c r="K268" s="7" t="s">
        <v>1770</v>
      </c>
      <c r="L268" s="7" t="s">
        <v>1764</v>
      </c>
      <c r="M268" s="12" t="s">
        <v>31</v>
      </c>
      <c r="N268" s="7" t="s">
        <v>32</v>
      </c>
      <c r="O268" s="7" t="s">
        <v>726</v>
      </c>
      <c r="P268" s="7" t="s">
        <v>34</v>
      </c>
      <c r="Q268" s="7" t="s">
        <v>1839</v>
      </c>
      <c r="R268" s="7" t="s">
        <v>35</v>
      </c>
      <c r="S268" s="8" t="s">
        <v>1771</v>
      </c>
      <c r="T268" s="7" t="s">
        <v>37</v>
      </c>
    </row>
    <row r="269" customHeight="1" spans="1:20">
      <c r="A269" s="7">
        <v>116482</v>
      </c>
      <c r="B269" s="7" t="s">
        <v>720</v>
      </c>
      <c r="C269" s="7" t="s">
        <v>138</v>
      </c>
      <c r="D269" s="8" t="s">
        <v>156</v>
      </c>
      <c r="E269" s="7" t="s">
        <v>23</v>
      </c>
      <c r="F269" s="7" t="s">
        <v>24</v>
      </c>
      <c r="G269" s="8" t="s">
        <v>1772</v>
      </c>
      <c r="H269" s="7" t="s">
        <v>1623</v>
      </c>
      <c r="I269" s="11" t="s">
        <v>1624</v>
      </c>
      <c r="J269" s="7" t="s">
        <v>1773</v>
      </c>
      <c r="K269" s="7" t="s">
        <v>1774</v>
      </c>
      <c r="L269" s="7" t="s">
        <v>725</v>
      </c>
      <c r="M269" s="12" t="s">
        <v>31</v>
      </c>
      <c r="N269" s="7" t="s">
        <v>32</v>
      </c>
      <c r="O269" s="7" t="s">
        <v>726</v>
      </c>
      <c r="P269" s="7" t="s">
        <v>34</v>
      </c>
      <c r="Q269" s="7" t="s">
        <v>1839</v>
      </c>
      <c r="R269" s="7" t="s">
        <v>35</v>
      </c>
      <c r="S269" s="8" t="s">
        <v>1775</v>
      </c>
      <c r="T269" s="7" t="s">
        <v>37</v>
      </c>
    </row>
    <row r="270" customHeight="1" spans="1:20">
      <c r="A270" s="7">
        <v>116482</v>
      </c>
      <c r="B270" s="7" t="s">
        <v>720</v>
      </c>
      <c r="C270" s="7" t="s">
        <v>138</v>
      </c>
      <c r="D270" s="8" t="s">
        <v>161</v>
      </c>
      <c r="E270" s="7" t="s">
        <v>23</v>
      </c>
      <c r="F270" s="7" t="s">
        <v>24</v>
      </c>
      <c r="G270" s="8" t="s">
        <v>1772</v>
      </c>
      <c r="H270" s="7" t="s">
        <v>1623</v>
      </c>
      <c r="I270" s="11" t="s">
        <v>1624</v>
      </c>
      <c r="J270" s="7" t="s">
        <v>1776</v>
      </c>
      <c r="K270" s="7" t="s">
        <v>1777</v>
      </c>
      <c r="L270" s="7" t="s">
        <v>725</v>
      </c>
      <c r="M270" s="12" t="s">
        <v>31</v>
      </c>
      <c r="N270" s="7" t="s">
        <v>32</v>
      </c>
      <c r="O270" s="7" t="s">
        <v>726</v>
      </c>
      <c r="P270" s="7" t="s">
        <v>34</v>
      </c>
      <c r="Q270" s="7" t="s">
        <v>1839</v>
      </c>
      <c r="R270" s="7" t="s">
        <v>35</v>
      </c>
      <c r="S270" s="8" t="s">
        <v>1778</v>
      </c>
      <c r="T270" s="7" t="s">
        <v>37</v>
      </c>
    </row>
    <row r="271" customHeight="1" spans="1:20">
      <c r="A271" s="7">
        <v>116482</v>
      </c>
      <c r="B271" s="7" t="s">
        <v>720</v>
      </c>
      <c r="C271" s="7" t="s">
        <v>138</v>
      </c>
      <c r="D271" s="8" t="s">
        <v>139</v>
      </c>
      <c r="E271" s="7" t="s">
        <v>23</v>
      </c>
      <c r="F271" s="7" t="s">
        <v>24</v>
      </c>
      <c r="G271" s="8" t="s">
        <v>1772</v>
      </c>
      <c r="H271" s="7" t="s">
        <v>1623</v>
      </c>
      <c r="I271" s="11" t="s">
        <v>1624</v>
      </c>
      <c r="J271" s="7" t="s">
        <v>1779</v>
      </c>
      <c r="K271" s="7" t="s">
        <v>1780</v>
      </c>
      <c r="L271" s="7" t="s">
        <v>725</v>
      </c>
      <c r="M271" s="12" t="s">
        <v>31</v>
      </c>
      <c r="N271" s="7" t="s">
        <v>32</v>
      </c>
      <c r="O271" s="7" t="s">
        <v>726</v>
      </c>
      <c r="P271" s="7" t="s">
        <v>34</v>
      </c>
      <c r="Q271" s="7" t="s">
        <v>1839</v>
      </c>
      <c r="R271" s="7" t="s">
        <v>35</v>
      </c>
      <c r="S271" s="8" t="s">
        <v>1781</v>
      </c>
      <c r="T271" s="7" t="s">
        <v>37</v>
      </c>
    </row>
    <row r="272" customHeight="1" spans="1:20">
      <c r="A272" s="7">
        <v>513</v>
      </c>
      <c r="B272" s="7" t="s">
        <v>506</v>
      </c>
      <c r="C272" s="7" t="s">
        <v>138</v>
      </c>
      <c r="D272" s="8" t="s">
        <v>156</v>
      </c>
      <c r="E272" s="7" t="s">
        <v>23</v>
      </c>
      <c r="F272" s="7" t="s">
        <v>24</v>
      </c>
      <c r="G272" s="8" t="s">
        <v>1805</v>
      </c>
      <c r="H272" s="7" t="s">
        <v>1405</v>
      </c>
      <c r="I272" s="11" t="s">
        <v>567</v>
      </c>
      <c r="J272" s="7" t="s">
        <v>1806</v>
      </c>
      <c r="K272" s="7" t="s">
        <v>1807</v>
      </c>
      <c r="L272" s="7" t="s">
        <v>510</v>
      </c>
      <c r="M272" s="12" t="s">
        <v>31</v>
      </c>
      <c r="N272" s="7" t="s">
        <v>32</v>
      </c>
      <c r="O272" s="7" t="s">
        <v>197</v>
      </c>
      <c r="P272" s="7" t="s">
        <v>34</v>
      </c>
      <c r="Q272" s="7" t="s">
        <v>1839</v>
      </c>
      <c r="R272" s="7" t="s">
        <v>35</v>
      </c>
      <c r="S272" s="8" t="s">
        <v>1808</v>
      </c>
      <c r="T272" s="7" t="s">
        <v>37</v>
      </c>
    </row>
    <row r="273" customHeight="1" spans="1:20">
      <c r="A273" s="7">
        <v>513</v>
      </c>
      <c r="B273" s="7" t="s">
        <v>506</v>
      </c>
      <c r="C273" s="7" t="s">
        <v>138</v>
      </c>
      <c r="D273" s="8" t="s">
        <v>161</v>
      </c>
      <c r="E273" s="7" t="s">
        <v>23</v>
      </c>
      <c r="F273" s="7" t="s">
        <v>24</v>
      </c>
      <c r="G273" s="8" t="s">
        <v>1805</v>
      </c>
      <c r="H273" s="7" t="s">
        <v>1405</v>
      </c>
      <c r="I273" s="11" t="s">
        <v>567</v>
      </c>
      <c r="J273" s="7" t="s">
        <v>1809</v>
      </c>
      <c r="K273" s="7" t="s">
        <v>1810</v>
      </c>
      <c r="L273" s="7" t="s">
        <v>510</v>
      </c>
      <c r="M273" s="12" t="s">
        <v>31</v>
      </c>
      <c r="N273" s="7" t="s">
        <v>32</v>
      </c>
      <c r="O273" s="7" t="s">
        <v>197</v>
      </c>
      <c r="P273" s="7" t="s">
        <v>34</v>
      </c>
      <c r="Q273" s="7" t="s">
        <v>1839</v>
      </c>
      <c r="R273" s="7" t="s">
        <v>35</v>
      </c>
      <c r="S273" s="8" t="s">
        <v>1811</v>
      </c>
      <c r="T273" s="7" t="s">
        <v>37</v>
      </c>
    </row>
    <row r="274" customHeight="1" spans="1:20">
      <c r="A274" s="7">
        <v>513</v>
      </c>
      <c r="B274" s="7" t="s">
        <v>506</v>
      </c>
      <c r="C274" s="7" t="s">
        <v>138</v>
      </c>
      <c r="D274" s="8" t="s">
        <v>139</v>
      </c>
      <c r="E274" s="7" t="s">
        <v>23</v>
      </c>
      <c r="F274" s="7" t="s">
        <v>24</v>
      </c>
      <c r="G274" s="8" t="s">
        <v>1805</v>
      </c>
      <c r="H274" s="7" t="s">
        <v>1405</v>
      </c>
      <c r="I274" s="11" t="s">
        <v>567</v>
      </c>
      <c r="J274" s="7" t="s">
        <v>1812</v>
      </c>
      <c r="K274" s="7" t="s">
        <v>1813</v>
      </c>
      <c r="L274" s="7" t="s">
        <v>510</v>
      </c>
      <c r="M274" s="12" t="s">
        <v>31</v>
      </c>
      <c r="N274" s="7" t="s">
        <v>32</v>
      </c>
      <c r="O274" s="7" t="s">
        <v>197</v>
      </c>
      <c r="P274" s="7" t="s">
        <v>34</v>
      </c>
      <c r="Q274" s="7" t="s">
        <v>1839</v>
      </c>
      <c r="R274" s="7" t="s">
        <v>35</v>
      </c>
      <c r="S274" s="8" t="s">
        <v>1814</v>
      </c>
      <c r="T274" s="7" t="s">
        <v>37</v>
      </c>
    </row>
    <row r="275" customHeight="1" spans="1:20">
      <c r="A275" s="7">
        <v>379</v>
      </c>
      <c r="B275" s="7" t="s">
        <v>1823</v>
      </c>
      <c r="C275" s="7" t="s">
        <v>138</v>
      </c>
      <c r="D275" s="8" t="s">
        <v>257</v>
      </c>
      <c r="E275" s="7" t="s">
        <v>23</v>
      </c>
      <c r="F275" s="7" t="s">
        <v>24</v>
      </c>
      <c r="G275" s="8" t="s">
        <v>1824</v>
      </c>
      <c r="H275" s="7" t="s">
        <v>1623</v>
      </c>
      <c r="I275" s="11" t="s">
        <v>1624</v>
      </c>
      <c r="J275" s="7" t="s">
        <v>1825</v>
      </c>
      <c r="K275" s="7" t="s">
        <v>1826</v>
      </c>
      <c r="L275" s="7" t="s">
        <v>1827</v>
      </c>
      <c r="M275" s="12" t="s">
        <v>31</v>
      </c>
      <c r="N275" s="7" t="s">
        <v>32</v>
      </c>
      <c r="O275" s="7" t="s">
        <v>197</v>
      </c>
      <c r="P275" s="7" t="s">
        <v>34</v>
      </c>
      <c r="Q275" s="7" t="s">
        <v>1839</v>
      </c>
      <c r="R275" s="7" t="s">
        <v>35</v>
      </c>
      <c r="S275" s="8" t="s">
        <v>1828</v>
      </c>
      <c r="T275" s="7" t="s">
        <v>37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整改过期+复核过期门店</vt:lpstr>
      <vt:lpstr>门店处罚金额汇总</vt:lpstr>
      <vt:lpstr>整改过期门店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2022-07-12T03:40:00Z</dcterms:created>
  <dcterms:modified xsi:type="dcterms:W3CDTF">2022-07-22T02:47:17Z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282DC9E9862E4895B4F92A2DA6358A4B</vt:lpwstr>
  </property>
  <property fmtid="{D5CDD505-2E9C-101B-9397-08002B2CF9AE}" pid="3" name="KSOProductBuildVer">
    <vt:lpwstr>2052-11.1.0.11830</vt:lpwstr>
  </property>
</Properties>
</file>