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0.17-23日销售完成明细" sheetId="1" r:id="rId1"/>
    <sheet name="员工奖励明细表" sheetId="2" r:id="rId2"/>
    <sheet name="员工积分奖励" sheetId="3" r:id="rId3"/>
    <sheet name="片区完成情况" sheetId="5" r:id="rId4"/>
  </sheets>
  <externalReferences>
    <externalReference r:id="rId5"/>
    <externalReference r:id="rId6"/>
    <externalReference r:id="rId7"/>
  </externalReferences>
  <definedNames>
    <definedName name="_xlnm._FilterDatabase" localSheetId="0" hidden="1">'10.17-23日销售完成明细'!$A$2:$AV$146</definedName>
  </definedNames>
  <calcPr calcId="144525"/>
</workbook>
</file>

<file path=xl/sharedStrings.xml><?xml version="1.0" encoding="utf-8"?>
<sst xmlns="http://schemas.openxmlformats.org/spreadsheetml/2006/main" count="384" uniqueCount="210">
  <si>
    <t>10.17-20日 1档任务</t>
  </si>
  <si>
    <t>10.17-20日 2档任务</t>
  </si>
  <si>
    <t>10.21-23日</t>
  </si>
  <si>
    <t>序号</t>
  </si>
  <si>
    <t>门店ID</t>
  </si>
  <si>
    <t>门店名称</t>
  </si>
  <si>
    <t>片区名称</t>
  </si>
  <si>
    <t>10月销售</t>
  </si>
  <si>
    <t>毛利率</t>
  </si>
  <si>
    <t>毛利额</t>
  </si>
  <si>
    <t>正式员工</t>
  </si>
  <si>
    <t>实习生</t>
  </si>
  <si>
    <t>4天实际销售</t>
  </si>
  <si>
    <t>4天实际毛利</t>
  </si>
  <si>
    <t>销售</t>
  </si>
  <si>
    <t>1档销售任务</t>
  </si>
  <si>
    <t>1档毛利任务</t>
  </si>
  <si>
    <t>1档销售完成率</t>
  </si>
  <si>
    <t>1档毛利完成率</t>
  </si>
  <si>
    <r>
      <t xml:space="preserve">1档奖励金额销售完成奖励50元/人， </t>
    </r>
    <r>
      <rPr>
        <b/>
        <sz val="12"/>
        <color rgb="FFFF0000"/>
        <rFont val="宋体"/>
        <charset val="134"/>
        <scheme val="minor"/>
      </rPr>
      <t>实习生奖励15分/人</t>
    </r>
  </si>
  <si>
    <t>1档处罚金额/ 封顶处罚200元</t>
  </si>
  <si>
    <t>处罚减半</t>
  </si>
  <si>
    <t>2档销售任务</t>
  </si>
  <si>
    <t>2档毛利任务</t>
  </si>
  <si>
    <t>2档销售完成率</t>
  </si>
  <si>
    <t>2档毛利完成率</t>
  </si>
  <si>
    <t>2档奖励金额
销售达标奖励100元/人，实习生奖励50元/人</t>
  </si>
  <si>
    <t xml:space="preserve">2档超毛奖励，销售毛利均达标 </t>
  </si>
  <si>
    <t>3天实际销售</t>
  </si>
  <si>
    <t>3天实际毛利</t>
  </si>
  <si>
    <t>1档销售毛利达标奖励</t>
  </si>
  <si>
    <t>2档毛任务</t>
  </si>
  <si>
    <t>2档超毛奖励</t>
  </si>
  <si>
    <t>成都成汉太极大药房有限公司</t>
  </si>
  <si>
    <t>旗舰片区</t>
  </si>
  <si>
    <t>旗舰店</t>
  </si>
  <si>
    <t>天顺路店</t>
  </si>
  <si>
    <t>西门一片</t>
  </si>
  <si>
    <t>温江店</t>
  </si>
  <si>
    <t>西门二片</t>
  </si>
  <si>
    <t>50积分/正式员工</t>
  </si>
  <si>
    <t>培华东路店（六医院店）</t>
  </si>
  <si>
    <t>城中片</t>
  </si>
  <si>
    <t>北东街店</t>
  </si>
  <si>
    <t>高新天久北巷药店</t>
  </si>
  <si>
    <t>都江堰聚源镇药店</t>
  </si>
  <si>
    <t>都江堰片</t>
  </si>
  <si>
    <t>都江堰景中路店</t>
  </si>
  <si>
    <t>青羊区十二桥药店</t>
  </si>
  <si>
    <t>经一路店</t>
  </si>
  <si>
    <t>华泰路二药店</t>
  </si>
  <si>
    <t>东南片区</t>
  </si>
  <si>
    <t xml:space="preserve">永康东路药店 </t>
  </si>
  <si>
    <t>崇州片</t>
  </si>
  <si>
    <t>光华西一路</t>
  </si>
  <si>
    <t>高新区大源北街药店</t>
  </si>
  <si>
    <t>蜀辉路店</t>
  </si>
  <si>
    <t>倪家桥</t>
  </si>
  <si>
    <t>五津西路药店</t>
  </si>
  <si>
    <t>新津片</t>
  </si>
  <si>
    <t>大邑县晋原镇通达东路五段药店</t>
  </si>
  <si>
    <t>城郊一片</t>
  </si>
  <si>
    <t>银河北街</t>
  </si>
  <si>
    <t>沙湾东一路</t>
  </si>
  <si>
    <t>成华区羊子山西路药店（兴元华盛）</t>
  </si>
  <si>
    <t>北门片</t>
  </si>
  <si>
    <t>大邑县晋原镇子龙路店</t>
  </si>
  <si>
    <t>蜀源路店</t>
  </si>
  <si>
    <t>都江堰宝莲路</t>
  </si>
  <si>
    <t>逸都路店</t>
  </si>
  <si>
    <t>温江区公平街道江安路药店</t>
  </si>
  <si>
    <t>杏林路</t>
  </si>
  <si>
    <t>邛崃翠荫街</t>
  </si>
  <si>
    <t>三医院店（青龙街）</t>
  </si>
  <si>
    <t>泰和二街</t>
  </si>
  <si>
    <t>新都区新都街道万和北路药店</t>
  </si>
  <si>
    <t>大邑县晋源镇东壕沟段药店</t>
  </si>
  <si>
    <t>彭州致和路店</t>
  </si>
  <si>
    <t>新津武阳西路</t>
  </si>
  <si>
    <t>清江东路药店</t>
  </si>
  <si>
    <t>光华药店</t>
  </si>
  <si>
    <t>成华杉板桥南一路店</t>
  </si>
  <si>
    <t>都江堰市蒲阳路药店</t>
  </si>
  <si>
    <t>元华二巷</t>
  </si>
  <si>
    <t>静沙路</t>
  </si>
  <si>
    <t>锦江区水杉街药店</t>
  </si>
  <si>
    <t>都江堰药店</t>
  </si>
  <si>
    <t>崇州中心店</t>
  </si>
  <si>
    <t>锦江区庆云南街药店</t>
  </si>
  <si>
    <t>土龙路药店</t>
  </si>
  <si>
    <t>新津邓双镇岷江店</t>
  </si>
  <si>
    <t>尚锦路店</t>
  </si>
  <si>
    <t>大邑县晋原镇东街药店</t>
  </si>
  <si>
    <t>五福桥东路</t>
  </si>
  <si>
    <t>大邑县安仁镇千禧街药店</t>
  </si>
  <si>
    <t>光华北五路店</t>
  </si>
  <si>
    <t>大邑县沙渠镇方圆路药店</t>
  </si>
  <si>
    <t>双流区东升街道三强西路药店</t>
  </si>
  <si>
    <t>双林路药店</t>
  </si>
  <si>
    <t>四川太极金牛区蜀汉路药店</t>
  </si>
  <si>
    <t>都江堰幸福镇翔凤路药店</t>
  </si>
  <si>
    <t>四川太极大邑县晋原镇北街药店</t>
  </si>
  <si>
    <t>邛崃市临邛镇洪川小区药店</t>
  </si>
  <si>
    <t>丝竹路</t>
  </si>
  <si>
    <t>紫薇东路</t>
  </si>
  <si>
    <t>新乐中街药店</t>
  </si>
  <si>
    <t>观音阁店</t>
  </si>
  <si>
    <t>锦江区观音桥街药店</t>
  </si>
  <si>
    <t>四川太极金牛区银沙路药店</t>
  </si>
  <si>
    <t>金丝街药店</t>
  </si>
  <si>
    <t>医贸大道店</t>
  </si>
  <si>
    <t>浆洗街药店</t>
  </si>
  <si>
    <t>锦江区榕声路店</t>
  </si>
  <si>
    <t>贝森北路</t>
  </si>
  <si>
    <t>大邑县晋原镇内蒙古大道桃源药店</t>
  </si>
  <si>
    <t>郫县郫筒镇东大街药店</t>
  </si>
  <si>
    <t>光华村街药店</t>
  </si>
  <si>
    <t>怀远店</t>
  </si>
  <si>
    <t>枣子巷药店</t>
  </si>
  <si>
    <t>高新区中和公济桥路药店</t>
  </si>
  <si>
    <t>金祥店</t>
  </si>
  <si>
    <t>都江堰奎光路中段药店</t>
  </si>
  <si>
    <t>金牛区交大路第三药店</t>
  </si>
  <si>
    <t>科华北路</t>
  </si>
  <si>
    <t>水碾河</t>
  </si>
  <si>
    <t>西林一街</t>
  </si>
  <si>
    <t>红星店</t>
  </si>
  <si>
    <t>通盈街药店</t>
  </si>
  <si>
    <t>金带街药店</t>
  </si>
  <si>
    <t>西部店</t>
  </si>
  <si>
    <t>大石西路药店</t>
  </si>
  <si>
    <t>邛崃中心药店</t>
  </si>
  <si>
    <t>新园大道药店</t>
  </si>
  <si>
    <t>成华区万宇路药店</t>
  </si>
  <si>
    <t>金牛区黄苑东街药店</t>
  </si>
  <si>
    <t>花照壁中横街</t>
  </si>
  <si>
    <t>梨花街</t>
  </si>
  <si>
    <t>万科路药店</t>
  </si>
  <si>
    <t>宏济路</t>
  </si>
  <si>
    <t>青羊区童子街</t>
  </si>
  <si>
    <t>锦江区柳翠路药店</t>
  </si>
  <si>
    <t>金马河</t>
  </si>
  <si>
    <t>高新区民丰大道西段药店</t>
  </si>
  <si>
    <t>郫县郫筒镇一环路东南段药店</t>
  </si>
  <si>
    <t>成华区二环路北四段药店（汇融名城）</t>
  </si>
  <si>
    <t>大悦路店</t>
  </si>
  <si>
    <t>大邑蜀望路店</t>
  </si>
  <si>
    <t>沙河源药店</t>
  </si>
  <si>
    <t>成华区华康路药店</t>
  </si>
  <si>
    <t>成华区崔家店路药店</t>
  </si>
  <si>
    <t>大华街药店</t>
  </si>
  <si>
    <t>武侯区顺和街店</t>
  </si>
  <si>
    <t>新都区马超东路店</t>
  </si>
  <si>
    <t>三江店</t>
  </si>
  <si>
    <t>成华区华泰路药店</t>
  </si>
  <si>
    <t>邛崃市羊安镇永康大道药店</t>
  </si>
  <si>
    <t>四川太极新津五津西路二店</t>
  </si>
  <si>
    <t>驷马桥店</t>
  </si>
  <si>
    <t>武侯区科华街药店</t>
  </si>
  <si>
    <t>新都区新繁镇繁江北路药店</t>
  </si>
  <si>
    <t>双流县西航港街道锦华路一段药店</t>
  </si>
  <si>
    <t>锦江区劼人路药店</t>
  </si>
  <si>
    <t>剑南大道店</t>
  </si>
  <si>
    <t>聚萃街药店</t>
  </si>
  <si>
    <t>金牛区金沙路药店</t>
  </si>
  <si>
    <t>蜀兴路店</t>
  </si>
  <si>
    <t>花照壁</t>
  </si>
  <si>
    <t>双楠店</t>
  </si>
  <si>
    <t>成华区华油路药店</t>
  </si>
  <si>
    <t>都江堰市蒲阳镇堰问道西路药店</t>
  </si>
  <si>
    <t>蜀州中路店</t>
  </si>
  <si>
    <t>中和大道药店</t>
  </si>
  <si>
    <t>东昌路店</t>
  </si>
  <si>
    <t>金巷西街店</t>
  </si>
  <si>
    <t>元通大道店</t>
  </si>
  <si>
    <t>武侯区佳灵路</t>
  </si>
  <si>
    <t>长寿路</t>
  </si>
  <si>
    <t>崇州市崇阳镇尚贤坊街药店</t>
  </si>
  <si>
    <t>兴义镇万兴路药店</t>
  </si>
  <si>
    <t>新下街</t>
  </si>
  <si>
    <t>邛崃市临邛镇凤凰大道药店</t>
  </si>
  <si>
    <t>大邑县新场镇文昌街药店</t>
  </si>
  <si>
    <t>潘家街店</t>
  </si>
  <si>
    <t>大邑南街店</t>
  </si>
  <si>
    <t>郫都区红高路药店</t>
  </si>
  <si>
    <t>泰和二街西二路店</t>
  </si>
  <si>
    <t>怀远二店</t>
  </si>
  <si>
    <t>10.17-23日奖励明细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</si>
  <si>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</si>
  <si>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</si>
  <si>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</si>
  <si>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Arial"/>
        <charset val="0"/>
      </rPr>
      <t>ID</t>
    </r>
  </si>
  <si>
    <t>姓名</t>
  </si>
  <si>
    <t>员工1档/2档奖励</t>
  </si>
  <si>
    <t>1档/2档超毛奖励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</si>
  <si>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</si>
  <si>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</si>
  <si>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员工加分</t>
  </si>
  <si>
    <t>备注</t>
  </si>
  <si>
    <t>10.17-23日 片区完成情况</t>
  </si>
  <si>
    <t>管辖店数</t>
  </si>
  <si>
    <t>销售完成        门店数</t>
  </si>
  <si>
    <t>门店店数         完成率</t>
  </si>
  <si>
    <t>未开卡</t>
  </si>
  <si>
    <t>加分</t>
  </si>
  <si>
    <t>实际扣分                （绩效活动4分）</t>
  </si>
  <si>
    <t>城中片区</t>
  </si>
  <si>
    <t>崇州片区</t>
  </si>
  <si>
    <t>都江堰片区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</si>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</sst>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2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17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21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0.25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1160</v>
          </cell>
          <cell r="K2">
            <v>530.89</v>
          </cell>
          <cell r="L2">
            <v>615827.01</v>
          </cell>
          <cell r="M2">
            <v>64880.59</v>
          </cell>
        </row>
        <row r="3">
          <cell r="D3">
            <v>345</v>
          </cell>
          <cell r="E3" t="str">
            <v>四川太极B区西部店</v>
          </cell>
          <cell r="F3" t="str">
            <v>否</v>
          </cell>
          <cell r="G3">
            <v>261</v>
          </cell>
          <cell r="H3" t="str">
            <v>团购片</v>
          </cell>
          <cell r="I3" t="str">
            <v>王灵</v>
          </cell>
          <cell r="J3">
            <v>32</v>
          </cell>
          <cell r="K3">
            <v>14951.39</v>
          </cell>
          <cell r="L3">
            <v>478444.4</v>
          </cell>
          <cell r="M3">
            <v>61067.91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780</v>
          </cell>
          <cell r="K4">
            <v>314.95</v>
          </cell>
          <cell r="L4">
            <v>245662.06</v>
          </cell>
          <cell r="M4">
            <v>57080.57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768</v>
          </cell>
          <cell r="K5">
            <v>209.14</v>
          </cell>
          <cell r="L5">
            <v>160621.15</v>
          </cell>
          <cell r="M5">
            <v>27970.38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544</v>
          </cell>
          <cell r="K6">
            <v>234.63</v>
          </cell>
          <cell r="L6">
            <v>127640.77</v>
          </cell>
          <cell r="M6">
            <v>19858.04</v>
          </cell>
        </row>
        <row r="7">
          <cell r="D7">
            <v>582</v>
          </cell>
          <cell r="E7" t="str">
            <v>四川太极青羊区十二桥药店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645</v>
          </cell>
          <cell r="K7">
            <v>192.01</v>
          </cell>
          <cell r="L7">
            <v>123843.49</v>
          </cell>
          <cell r="M7">
            <v>21221.45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828</v>
          </cell>
          <cell r="K8">
            <v>109.09</v>
          </cell>
          <cell r="L8">
            <v>90328.54</v>
          </cell>
          <cell r="M8">
            <v>20412.95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581</v>
          </cell>
          <cell r="K9">
            <v>128.4</v>
          </cell>
          <cell r="L9">
            <v>74601.32</v>
          </cell>
          <cell r="M9">
            <v>20153.38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340</v>
          </cell>
          <cell r="K10">
            <v>157.02</v>
          </cell>
          <cell r="L10">
            <v>53387.3</v>
          </cell>
          <cell r="M10">
            <v>12255.51</v>
          </cell>
        </row>
        <row r="11">
          <cell r="D11">
            <v>114844</v>
          </cell>
          <cell r="E11" t="str">
            <v>四川太极成华区培华东路药店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285</v>
          </cell>
          <cell r="K11">
            <v>170.56</v>
          </cell>
          <cell r="L11">
            <v>48609.61</v>
          </cell>
          <cell r="M11">
            <v>8565.65</v>
          </cell>
        </row>
        <row r="12">
          <cell r="D12">
            <v>585</v>
          </cell>
          <cell r="E12" t="str">
            <v>四川太极成华区羊子山西路药店（兴元华盛）</v>
          </cell>
          <cell r="F12" t="str">
            <v>否</v>
          </cell>
          <cell r="G12">
            <v>23</v>
          </cell>
          <cell r="H12" t="str">
            <v>城中片</v>
          </cell>
          <cell r="I12" t="str">
            <v>何巍 </v>
          </cell>
          <cell r="J12">
            <v>519</v>
          </cell>
          <cell r="K12">
            <v>84.09</v>
          </cell>
          <cell r="L12">
            <v>43640.72</v>
          </cell>
          <cell r="M12">
            <v>12511.69</v>
          </cell>
        </row>
        <row r="13">
          <cell r="D13">
            <v>571</v>
          </cell>
          <cell r="E13" t="str">
            <v>四川太极高新区锦城大道药店</v>
          </cell>
          <cell r="F13" t="str">
            <v>是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399</v>
          </cell>
          <cell r="K13">
            <v>109.04</v>
          </cell>
          <cell r="L13">
            <v>43506.52</v>
          </cell>
          <cell r="M13">
            <v>12388.57</v>
          </cell>
        </row>
        <row r="14">
          <cell r="D14">
            <v>742</v>
          </cell>
          <cell r="E14" t="str">
            <v>四川太极锦江区庆云南街药店</v>
          </cell>
          <cell r="F14" t="str">
            <v/>
          </cell>
          <cell r="G14">
            <v>142</v>
          </cell>
          <cell r="H14" t="str">
            <v>旗舰片区</v>
          </cell>
          <cell r="I14" t="str">
            <v>谭勤娟</v>
          </cell>
          <cell r="J14">
            <v>320</v>
          </cell>
          <cell r="K14">
            <v>131.86</v>
          </cell>
          <cell r="L14">
            <v>42195.18</v>
          </cell>
          <cell r="M14">
            <v>9097.59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385</v>
          </cell>
          <cell r="K15">
            <v>108.16</v>
          </cell>
          <cell r="L15">
            <v>41640.21</v>
          </cell>
          <cell r="M15">
            <v>12670.24</v>
          </cell>
        </row>
        <row r="16">
          <cell r="D16">
            <v>107658</v>
          </cell>
          <cell r="E16" t="str">
            <v>四川太极新都区新都街道万和北路药店</v>
          </cell>
          <cell r="F16" t="str">
            <v/>
          </cell>
          <cell r="G16">
            <v>342</v>
          </cell>
          <cell r="H16" t="str">
            <v>西门二片</v>
          </cell>
          <cell r="I16" t="str">
            <v>林禹帅</v>
          </cell>
          <cell r="J16">
            <v>517</v>
          </cell>
          <cell r="K16">
            <v>77.73</v>
          </cell>
          <cell r="L16">
            <v>40183.99</v>
          </cell>
          <cell r="M16">
            <v>11560.7</v>
          </cell>
        </row>
        <row r="17">
          <cell r="D17">
            <v>737</v>
          </cell>
          <cell r="E17" t="str">
            <v>四川太极高新区大源北街药店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301</v>
          </cell>
          <cell r="K17">
            <v>133.22</v>
          </cell>
          <cell r="L17">
            <v>40099.94</v>
          </cell>
          <cell r="M17">
            <v>7037.7</v>
          </cell>
        </row>
        <row r="18">
          <cell r="D18">
            <v>102934</v>
          </cell>
          <cell r="E18" t="str">
            <v>四川太极金牛区银河北街药店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426</v>
          </cell>
          <cell r="K18">
            <v>93.83</v>
          </cell>
          <cell r="L18">
            <v>39970.43</v>
          </cell>
          <cell r="M18">
            <v>13251.39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436</v>
          </cell>
          <cell r="K19">
            <v>91.04</v>
          </cell>
          <cell r="L19">
            <v>39693.68</v>
          </cell>
          <cell r="M19">
            <v>11767.53</v>
          </cell>
        </row>
        <row r="20">
          <cell r="D20">
            <v>329</v>
          </cell>
          <cell r="E20" t="str">
            <v>四川太极温江店</v>
          </cell>
          <cell r="F20" t="str">
            <v>是</v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247</v>
          </cell>
          <cell r="K20">
            <v>158.14</v>
          </cell>
          <cell r="L20">
            <v>39061</v>
          </cell>
          <cell r="M20">
            <v>9520.01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426</v>
          </cell>
          <cell r="K21">
            <v>91.18</v>
          </cell>
          <cell r="L21">
            <v>38841.36</v>
          </cell>
          <cell r="M21">
            <v>11027.14</v>
          </cell>
        </row>
        <row r="22">
          <cell r="D22">
            <v>357</v>
          </cell>
          <cell r="E22" t="str">
            <v>四川太极清江东路药店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340</v>
          </cell>
          <cell r="K22">
            <v>110.52</v>
          </cell>
          <cell r="L22">
            <v>37577.29</v>
          </cell>
          <cell r="M22">
            <v>11103.86</v>
          </cell>
        </row>
        <row r="23">
          <cell r="D23">
            <v>117491</v>
          </cell>
          <cell r="E23" t="str">
            <v>四川太极金牛区花照壁中横街药店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246</v>
          </cell>
          <cell r="K23">
            <v>151.79</v>
          </cell>
          <cell r="L23">
            <v>37339.51</v>
          </cell>
          <cell r="M23">
            <v>6531.71</v>
          </cell>
        </row>
        <row r="24">
          <cell r="D24">
            <v>111400</v>
          </cell>
          <cell r="E24" t="str">
            <v>四川太极邛崃市文君街道杏林路药店</v>
          </cell>
          <cell r="F24" t="str">
            <v/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296</v>
          </cell>
          <cell r="K24">
            <v>125.34</v>
          </cell>
          <cell r="L24">
            <v>37101.55</v>
          </cell>
          <cell r="M24">
            <v>6589.8</v>
          </cell>
        </row>
        <row r="25">
          <cell r="D25">
            <v>707</v>
          </cell>
          <cell r="E25" t="str">
            <v>四川太极成华区万科路药店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536</v>
          </cell>
          <cell r="K25">
            <v>69.2</v>
          </cell>
          <cell r="L25">
            <v>37092.64</v>
          </cell>
          <cell r="M25">
            <v>12011.01</v>
          </cell>
        </row>
        <row r="26">
          <cell r="D26">
            <v>399</v>
          </cell>
          <cell r="E26" t="str">
            <v>四川太极高新天久北巷药店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297</v>
          </cell>
          <cell r="K26">
            <v>124.83</v>
          </cell>
          <cell r="L26">
            <v>37073.58</v>
          </cell>
          <cell r="M26">
            <v>8164.62</v>
          </cell>
        </row>
        <row r="27">
          <cell r="D27">
            <v>106399</v>
          </cell>
          <cell r="E27" t="str">
            <v>四川太极青羊区蜀辉路药店</v>
          </cell>
          <cell r="F27" t="str">
            <v/>
          </cell>
          <cell r="G27">
            <v>342</v>
          </cell>
          <cell r="H27" t="str">
            <v>西门二片</v>
          </cell>
          <cell r="I27" t="str">
            <v>林禹帅</v>
          </cell>
          <cell r="J27">
            <v>405</v>
          </cell>
          <cell r="K27">
            <v>91.41</v>
          </cell>
          <cell r="L27">
            <v>37021.94</v>
          </cell>
          <cell r="M27">
            <v>10159.71</v>
          </cell>
        </row>
        <row r="28">
          <cell r="D28">
            <v>514</v>
          </cell>
          <cell r="E28" t="str">
            <v>四川太极新津邓双镇岷江店</v>
          </cell>
          <cell r="F28" t="str">
            <v>否</v>
          </cell>
          <cell r="G28">
            <v>281</v>
          </cell>
          <cell r="H28" t="str">
            <v>新津片</v>
          </cell>
          <cell r="I28" t="str">
            <v>王燕丽</v>
          </cell>
          <cell r="J28">
            <v>452</v>
          </cell>
          <cell r="K28">
            <v>78.64</v>
          </cell>
          <cell r="L28">
            <v>35545.02</v>
          </cell>
          <cell r="M28">
            <v>11609.87</v>
          </cell>
        </row>
        <row r="29">
          <cell r="D29">
            <v>546</v>
          </cell>
          <cell r="E29" t="str">
            <v>四川太极锦江区榕声路店</v>
          </cell>
          <cell r="F29" t="str">
            <v>否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406</v>
          </cell>
          <cell r="K29">
            <v>86.96</v>
          </cell>
          <cell r="L29">
            <v>35304.93</v>
          </cell>
          <cell r="M29">
            <v>11274.18</v>
          </cell>
        </row>
        <row r="30">
          <cell r="D30">
            <v>373</v>
          </cell>
          <cell r="E30" t="str">
            <v>四川太极通盈街药店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333</v>
          </cell>
          <cell r="K30">
            <v>105.07</v>
          </cell>
          <cell r="L30">
            <v>34988.84</v>
          </cell>
          <cell r="M30">
            <v>9512.27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500</v>
          </cell>
          <cell r="K31">
            <v>68.57</v>
          </cell>
          <cell r="L31">
            <v>34283.01</v>
          </cell>
          <cell r="M31">
            <v>11982.88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397</v>
          </cell>
          <cell r="K32">
            <v>85.95</v>
          </cell>
          <cell r="L32">
            <v>34123.68</v>
          </cell>
          <cell r="M32">
            <v>9872.53</v>
          </cell>
        </row>
        <row r="33">
          <cell r="D33">
            <v>730</v>
          </cell>
          <cell r="E33" t="str">
            <v>四川太极新都区新繁镇繁江北路药店</v>
          </cell>
          <cell r="F33" t="str">
            <v>否</v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420</v>
          </cell>
          <cell r="K33">
            <v>79.64</v>
          </cell>
          <cell r="L33">
            <v>33448.41</v>
          </cell>
          <cell r="M33">
            <v>10428.02</v>
          </cell>
        </row>
        <row r="34">
          <cell r="D34">
            <v>387</v>
          </cell>
          <cell r="E34" t="str">
            <v>四川太极新乐中街药店</v>
          </cell>
          <cell r="F34" t="str">
            <v>否</v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383</v>
          </cell>
          <cell r="K34">
            <v>87.11</v>
          </cell>
          <cell r="L34">
            <v>33361.91</v>
          </cell>
          <cell r="M34">
            <v>8982.52</v>
          </cell>
        </row>
        <row r="35">
          <cell r="D35">
            <v>359</v>
          </cell>
          <cell r="E35" t="str">
            <v>四川太极枣子巷药店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369</v>
          </cell>
          <cell r="K35">
            <v>89.01</v>
          </cell>
          <cell r="L35">
            <v>32843.92</v>
          </cell>
          <cell r="M35">
            <v>8152.83</v>
          </cell>
        </row>
        <row r="36">
          <cell r="D36">
            <v>724</v>
          </cell>
          <cell r="E36" t="str">
            <v>四川太极锦江区观音桥街药店</v>
          </cell>
          <cell r="F36" t="str">
            <v>否</v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352</v>
          </cell>
          <cell r="K36">
            <v>93.05</v>
          </cell>
          <cell r="L36">
            <v>32753.43</v>
          </cell>
          <cell r="M36">
            <v>6061.37</v>
          </cell>
        </row>
        <row r="37">
          <cell r="D37">
            <v>101453</v>
          </cell>
          <cell r="E37" t="str">
            <v>四川太极温江区公平街道江安路药店</v>
          </cell>
          <cell r="F37" t="str">
            <v/>
          </cell>
          <cell r="G37">
            <v>342</v>
          </cell>
          <cell r="H37" t="str">
            <v>西门二片</v>
          </cell>
          <cell r="I37" t="str">
            <v>林禹帅</v>
          </cell>
          <cell r="J37">
            <v>367</v>
          </cell>
          <cell r="K37">
            <v>85.17</v>
          </cell>
          <cell r="L37">
            <v>31256.02</v>
          </cell>
          <cell r="M37">
            <v>6970.01</v>
          </cell>
        </row>
        <row r="38">
          <cell r="D38">
            <v>581</v>
          </cell>
          <cell r="E38" t="str">
            <v>四川太极成华区二环路北四段药店（汇融名城）</v>
          </cell>
          <cell r="F38" t="str">
            <v>是</v>
          </cell>
          <cell r="G38">
            <v>23</v>
          </cell>
          <cell r="H38" t="str">
            <v>城中片</v>
          </cell>
          <cell r="I38" t="str">
            <v>何巍 </v>
          </cell>
          <cell r="J38">
            <v>411</v>
          </cell>
          <cell r="K38">
            <v>74.72</v>
          </cell>
          <cell r="L38">
            <v>30710.97</v>
          </cell>
          <cell r="M38">
            <v>8332.6</v>
          </cell>
        </row>
        <row r="39">
          <cell r="D39">
            <v>118074</v>
          </cell>
          <cell r="E39" t="str">
            <v>四川太极高新区泰和二街药店</v>
          </cell>
          <cell r="F39" t="str">
            <v/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391</v>
          </cell>
          <cell r="K39">
            <v>78.32</v>
          </cell>
          <cell r="L39">
            <v>30622.29</v>
          </cell>
          <cell r="M39">
            <v>10467.18</v>
          </cell>
        </row>
        <row r="40">
          <cell r="D40">
            <v>587</v>
          </cell>
          <cell r="E40" t="str">
            <v>四川太极都江堰景中路店</v>
          </cell>
          <cell r="F40" t="str">
            <v>否</v>
          </cell>
          <cell r="G40">
            <v>233</v>
          </cell>
          <cell r="H40" t="str">
            <v>都江堰片</v>
          </cell>
          <cell r="I40" t="str">
            <v>苗凯</v>
          </cell>
          <cell r="J40">
            <v>315</v>
          </cell>
          <cell r="K40">
            <v>95</v>
          </cell>
          <cell r="L40">
            <v>29925.74</v>
          </cell>
          <cell r="M40">
            <v>7799.94</v>
          </cell>
        </row>
        <row r="41">
          <cell r="D41">
            <v>117184</v>
          </cell>
          <cell r="E41" t="str">
            <v>四川太极锦江区静沙南路药店</v>
          </cell>
          <cell r="F41" t="str">
            <v/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321</v>
          </cell>
          <cell r="K41">
            <v>92.32</v>
          </cell>
          <cell r="L41">
            <v>29634.53</v>
          </cell>
          <cell r="M41">
            <v>9655.7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367</v>
          </cell>
          <cell r="K42">
            <v>80.71</v>
          </cell>
          <cell r="L42">
            <v>29620.06</v>
          </cell>
          <cell r="M42">
            <v>9462.06</v>
          </cell>
        </row>
        <row r="43">
          <cell r="D43">
            <v>598</v>
          </cell>
          <cell r="E43" t="str">
            <v>四川太极锦江区水杉街药店</v>
          </cell>
          <cell r="F43" t="str">
            <v>否</v>
          </cell>
          <cell r="G43">
            <v>23</v>
          </cell>
          <cell r="H43" t="str">
            <v>城中片</v>
          </cell>
          <cell r="I43" t="str">
            <v>何巍 </v>
          </cell>
          <cell r="J43">
            <v>312</v>
          </cell>
          <cell r="K43">
            <v>94.58</v>
          </cell>
          <cell r="L43">
            <v>29509.29</v>
          </cell>
          <cell r="M43">
            <v>8051.9</v>
          </cell>
        </row>
        <row r="44">
          <cell r="D44">
            <v>54</v>
          </cell>
          <cell r="E44" t="str">
            <v>四川太极怀远店</v>
          </cell>
          <cell r="F44" t="str">
            <v>是</v>
          </cell>
          <cell r="G44">
            <v>341</v>
          </cell>
          <cell r="H44" t="str">
            <v>崇州片</v>
          </cell>
          <cell r="I44" t="str">
            <v>胡建梅</v>
          </cell>
          <cell r="J44">
            <v>335</v>
          </cell>
          <cell r="K44">
            <v>86.49</v>
          </cell>
          <cell r="L44">
            <v>28974.87</v>
          </cell>
          <cell r="M44">
            <v>8362.96</v>
          </cell>
        </row>
        <row r="45">
          <cell r="D45">
            <v>120844</v>
          </cell>
          <cell r="E45" t="str">
            <v>四川太极彭州市致和镇南三环路药店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246</v>
          </cell>
          <cell r="K45">
            <v>117.16</v>
          </cell>
          <cell r="L45">
            <v>28820.95</v>
          </cell>
          <cell r="M45">
            <v>5875.12</v>
          </cell>
        </row>
        <row r="46">
          <cell r="D46">
            <v>744</v>
          </cell>
          <cell r="E46" t="str">
            <v>四川太极武侯区科华街药店</v>
          </cell>
          <cell r="F46" t="str">
            <v/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294</v>
          </cell>
          <cell r="K46">
            <v>96.76</v>
          </cell>
          <cell r="L46">
            <v>28446.07</v>
          </cell>
          <cell r="M46">
            <v>7223.66</v>
          </cell>
        </row>
        <row r="47">
          <cell r="D47">
            <v>103198</v>
          </cell>
          <cell r="E47" t="str">
            <v>四川太极青羊区贝森北路药店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359</v>
          </cell>
          <cell r="K47">
            <v>78.98</v>
          </cell>
          <cell r="L47">
            <v>28352.24</v>
          </cell>
          <cell r="M47">
            <v>7067.73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253</v>
          </cell>
          <cell r="K48">
            <v>111.09</v>
          </cell>
          <cell r="L48">
            <v>28106.2</v>
          </cell>
          <cell r="M48">
            <v>7404.62</v>
          </cell>
        </row>
        <row r="49">
          <cell r="D49">
            <v>104428</v>
          </cell>
          <cell r="E49" t="str">
            <v>四川太极崇州市崇阳镇永康东路药店 </v>
          </cell>
          <cell r="F49" t="str">
            <v/>
          </cell>
          <cell r="G49">
            <v>341</v>
          </cell>
          <cell r="H49" t="str">
            <v>崇州片</v>
          </cell>
          <cell r="I49" t="str">
            <v>胡建梅</v>
          </cell>
          <cell r="J49">
            <v>364</v>
          </cell>
          <cell r="K49">
            <v>76.68</v>
          </cell>
          <cell r="L49">
            <v>27911.32</v>
          </cell>
          <cell r="M49">
            <v>8075.42</v>
          </cell>
        </row>
        <row r="50">
          <cell r="D50">
            <v>726</v>
          </cell>
          <cell r="E50" t="str">
            <v>四川太极金牛区交大路第三药店</v>
          </cell>
          <cell r="F50" t="str">
            <v>否</v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454</v>
          </cell>
          <cell r="K50">
            <v>60.97</v>
          </cell>
          <cell r="L50">
            <v>27679.19</v>
          </cell>
          <cell r="M50">
            <v>7671.42</v>
          </cell>
        </row>
        <row r="51">
          <cell r="D51">
            <v>108656</v>
          </cell>
          <cell r="E51" t="str">
            <v>四川太极新津县五津镇五津西路二药房</v>
          </cell>
          <cell r="F51" t="str">
            <v/>
          </cell>
          <cell r="G51">
            <v>281</v>
          </cell>
          <cell r="H51" t="str">
            <v>新津片</v>
          </cell>
          <cell r="I51" t="str">
            <v>王燕丽</v>
          </cell>
          <cell r="J51">
            <v>250</v>
          </cell>
          <cell r="K51">
            <v>109.93</v>
          </cell>
          <cell r="L51">
            <v>27482.01</v>
          </cell>
          <cell r="M51">
            <v>6296.17</v>
          </cell>
        </row>
        <row r="52">
          <cell r="D52">
            <v>746</v>
          </cell>
          <cell r="E52" t="str">
            <v>四川太极大邑县晋原镇内蒙古大道桃源药店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399</v>
          </cell>
          <cell r="K52">
            <v>68.83</v>
          </cell>
          <cell r="L52">
            <v>27463.19</v>
          </cell>
          <cell r="M52">
            <v>7559.15</v>
          </cell>
        </row>
        <row r="53">
          <cell r="D53">
            <v>377</v>
          </cell>
          <cell r="E53" t="str">
            <v>四川太极新园大道药店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398</v>
          </cell>
          <cell r="K53">
            <v>67.26</v>
          </cell>
          <cell r="L53">
            <v>26767.67</v>
          </cell>
          <cell r="M53">
            <v>9062.07</v>
          </cell>
        </row>
        <row r="54">
          <cell r="D54">
            <v>106485</v>
          </cell>
          <cell r="E54" t="str">
            <v>四川太极成都高新区元华二巷药店</v>
          </cell>
          <cell r="F54" t="str">
            <v/>
          </cell>
          <cell r="G54">
            <v>142</v>
          </cell>
          <cell r="H54" t="str">
            <v>旗舰片区</v>
          </cell>
          <cell r="I54" t="str">
            <v>谭勤娟</v>
          </cell>
          <cell r="J54">
            <v>231</v>
          </cell>
          <cell r="K54">
            <v>115.47</v>
          </cell>
          <cell r="L54">
            <v>26672.55</v>
          </cell>
          <cell r="M54">
            <v>5847.05</v>
          </cell>
        </row>
        <row r="55">
          <cell r="D55">
            <v>747</v>
          </cell>
          <cell r="E55" t="str">
            <v>四川太极郫县郫筒镇一环路东南段药店</v>
          </cell>
          <cell r="F55" t="str">
            <v/>
          </cell>
          <cell r="G55">
            <v>23</v>
          </cell>
          <cell r="H55" t="str">
            <v>城中片</v>
          </cell>
          <cell r="I55" t="str">
            <v>何巍 </v>
          </cell>
          <cell r="J55">
            <v>251</v>
          </cell>
          <cell r="K55">
            <v>105.48</v>
          </cell>
          <cell r="L55">
            <v>26476.36</v>
          </cell>
          <cell r="M55">
            <v>6408.88</v>
          </cell>
        </row>
        <row r="56">
          <cell r="D56">
            <v>513</v>
          </cell>
          <cell r="E56" t="str">
            <v>四川太极武侯区顺和街店</v>
          </cell>
          <cell r="F56" t="str">
            <v>否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274</v>
          </cell>
          <cell r="K56">
            <v>96.54</v>
          </cell>
          <cell r="L56">
            <v>26450.99</v>
          </cell>
          <cell r="M56">
            <v>7429.5</v>
          </cell>
        </row>
        <row r="57">
          <cell r="D57">
            <v>115971</v>
          </cell>
          <cell r="E57" t="str">
            <v>四川太极高新区天顺路药店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215</v>
          </cell>
          <cell r="K57">
            <v>122.62</v>
          </cell>
          <cell r="L57">
            <v>26362.93</v>
          </cell>
          <cell r="M57">
            <v>4481.15</v>
          </cell>
        </row>
        <row r="58">
          <cell r="D58">
            <v>108277</v>
          </cell>
          <cell r="E58" t="str">
            <v>四川太极金牛区银沙路药店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379</v>
          </cell>
          <cell r="K58">
            <v>67.31</v>
          </cell>
          <cell r="L58">
            <v>25508.82</v>
          </cell>
          <cell r="M58">
            <v>6301.16</v>
          </cell>
        </row>
        <row r="59">
          <cell r="D59">
            <v>709</v>
          </cell>
          <cell r="E59" t="str">
            <v>四川太极新都区马超东路店</v>
          </cell>
          <cell r="F59" t="str">
            <v>否</v>
          </cell>
          <cell r="G59">
            <v>342</v>
          </cell>
          <cell r="H59" t="str">
            <v>西门二片</v>
          </cell>
          <cell r="I59" t="str">
            <v>林禹帅</v>
          </cell>
          <cell r="J59">
            <v>366</v>
          </cell>
          <cell r="K59">
            <v>68.93</v>
          </cell>
          <cell r="L59">
            <v>25227.58</v>
          </cell>
          <cell r="M59">
            <v>7728.49</v>
          </cell>
        </row>
        <row r="60">
          <cell r="D60">
            <v>539</v>
          </cell>
          <cell r="E60" t="str">
            <v>四川太极大邑县晋原镇子龙路店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243</v>
          </cell>
          <cell r="K60">
            <v>103.23</v>
          </cell>
          <cell r="L60">
            <v>25085.76</v>
          </cell>
          <cell r="M60">
            <v>6829.01</v>
          </cell>
        </row>
        <row r="61">
          <cell r="D61">
            <v>578</v>
          </cell>
          <cell r="E61" t="str">
            <v>四川太极成华区华油路药店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340</v>
          </cell>
          <cell r="K61">
            <v>73.57</v>
          </cell>
          <cell r="L61">
            <v>25015</v>
          </cell>
          <cell r="M61">
            <v>7871.66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339</v>
          </cell>
          <cell r="K62">
            <v>73.74</v>
          </cell>
          <cell r="L62">
            <v>24998.84</v>
          </cell>
          <cell r="M62">
            <v>7913.51</v>
          </cell>
        </row>
        <row r="63">
          <cell r="D63">
            <v>311</v>
          </cell>
          <cell r="E63" t="str">
            <v>四川太极西部店</v>
          </cell>
          <cell r="F63" t="str">
            <v>是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103</v>
          </cell>
          <cell r="K63">
            <v>239.46</v>
          </cell>
          <cell r="L63">
            <v>24663.95</v>
          </cell>
          <cell r="M63">
            <v>4083.74</v>
          </cell>
        </row>
        <row r="64">
          <cell r="D64">
            <v>721</v>
          </cell>
          <cell r="E64" t="str">
            <v>四川太极邛崃市临邛镇洪川小区药店</v>
          </cell>
          <cell r="F64" t="str">
            <v>否</v>
          </cell>
          <cell r="G64">
            <v>282</v>
          </cell>
          <cell r="H64" t="str">
            <v>城郊一片</v>
          </cell>
          <cell r="I64" t="str">
            <v>任会茹</v>
          </cell>
          <cell r="J64">
            <v>348</v>
          </cell>
          <cell r="K64">
            <v>70.15</v>
          </cell>
          <cell r="L64">
            <v>24412.53</v>
          </cell>
          <cell r="M64">
            <v>7761.95</v>
          </cell>
        </row>
        <row r="65">
          <cell r="D65">
            <v>111219</v>
          </cell>
          <cell r="E65" t="str">
            <v>四川太极金牛区花照壁药店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314</v>
          </cell>
          <cell r="K65">
            <v>77.65</v>
          </cell>
          <cell r="L65">
            <v>24380.57</v>
          </cell>
          <cell r="M65">
            <v>6834.13</v>
          </cell>
        </row>
        <row r="66">
          <cell r="D66">
            <v>114286</v>
          </cell>
          <cell r="E66" t="str">
            <v>四川太极青羊区光华北五路药店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378</v>
          </cell>
          <cell r="K66">
            <v>63.7</v>
          </cell>
          <cell r="L66">
            <v>24078.01</v>
          </cell>
          <cell r="M66">
            <v>6947.97</v>
          </cell>
        </row>
        <row r="67">
          <cell r="D67">
            <v>106066</v>
          </cell>
          <cell r="E67" t="str">
            <v>四川太极锦江区梨花街药店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346</v>
          </cell>
          <cell r="K67">
            <v>69.55</v>
          </cell>
          <cell r="L67">
            <v>24062.97</v>
          </cell>
          <cell r="M67">
            <v>8324.09</v>
          </cell>
        </row>
        <row r="68">
          <cell r="D68">
            <v>716</v>
          </cell>
          <cell r="E68" t="str">
            <v>四川太极大邑县沙渠镇方圆路药店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265</v>
          </cell>
          <cell r="K68">
            <v>90.18</v>
          </cell>
          <cell r="L68">
            <v>23897.94</v>
          </cell>
          <cell r="M68">
            <v>6637.91</v>
          </cell>
        </row>
        <row r="69">
          <cell r="D69">
            <v>355</v>
          </cell>
          <cell r="E69" t="str">
            <v>四川太极双林路药店</v>
          </cell>
          <cell r="F69" t="str">
            <v>是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229</v>
          </cell>
          <cell r="K69">
            <v>103.37</v>
          </cell>
          <cell r="L69">
            <v>23670.69</v>
          </cell>
          <cell r="M69">
            <v>5988.99</v>
          </cell>
        </row>
        <row r="70">
          <cell r="D70">
            <v>118151</v>
          </cell>
          <cell r="E70" t="str">
            <v>四川太极金牛区沙湾东一路药店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253</v>
          </cell>
          <cell r="K70">
            <v>91.09</v>
          </cell>
          <cell r="L70">
            <v>23045.62</v>
          </cell>
          <cell r="M70">
            <v>5192.49</v>
          </cell>
        </row>
        <row r="71">
          <cell r="D71">
            <v>748</v>
          </cell>
          <cell r="E71" t="str">
            <v>四川太极大邑县晋原镇东街药店</v>
          </cell>
          <cell r="F71" t="str">
            <v/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232</v>
          </cell>
          <cell r="K71">
            <v>99.31</v>
          </cell>
          <cell r="L71">
            <v>23038.8</v>
          </cell>
          <cell r="M71">
            <v>6119.85</v>
          </cell>
        </row>
        <row r="72">
          <cell r="D72">
            <v>572</v>
          </cell>
          <cell r="E72" t="str">
            <v>四川太极郫县郫筒镇东大街药店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226</v>
          </cell>
          <cell r="K72">
            <v>101.62</v>
          </cell>
          <cell r="L72">
            <v>22965.83</v>
          </cell>
          <cell r="M72">
            <v>3496.48</v>
          </cell>
        </row>
        <row r="73">
          <cell r="D73">
            <v>106569</v>
          </cell>
          <cell r="E73" t="str">
            <v>四川太极武侯区大悦路药店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88.26</v>
          </cell>
          <cell r="L73">
            <v>22947.63</v>
          </cell>
          <cell r="M73">
            <v>8190.03</v>
          </cell>
        </row>
        <row r="74">
          <cell r="D74">
            <v>113299</v>
          </cell>
          <cell r="E74" t="str">
            <v>四川太极武侯区倪家桥路药店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188</v>
          </cell>
          <cell r="K74">
            <v>121.88</v>
          </cell>
          <cell r="L74">
            <v>22913.27</v>
          </cell>
          <cell r="M74">
            <v>5862.85</v>
          </cell>
        </row>
        <row r="75">
          <cell r="D75">
            <v>391</v>
          </cell>
          <cell r="E75" t="str">
            <v>四川太极金丝街药店</v>
          </cell>
          <cell r="F75" t="str">
            <v>否</v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300</v>
          </cell>
          <cell r="K75">
            <v>75.86</v>
          </cell>
          <cell r="L75">
            <v>22757.8</v>
          </cell>
          <cell r="M75">
            <v>8230.08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311</v>
          </cell>
          <cell r="K76">
            <v>72.95</v>
          </cell>
          <cell r="L76">
            <v>22687.35</v>
          </cell>
          <cell r="M76">
            <v>6665.51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216</v>
          </cell>
          <cell r="K77">
            <v>103.81</v>
          </cell>
          <cell r="L77">
            <v>22422.52</v>
          </cell>
          <cell r="M77">
            <v>4774.65</v>
          </cell>
        </row>
        <row r="78">
          <cell r="D78">
            <v>107728</v>
          </cell>
          <cell r="E78" t="str">
            <v>四川太极大邑县晋原镇北街药店</v>
          </cell>
          <cell r="F78" t="str">
            <v/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256</v>
          </cell>
          <cell r="K78">
            <v>87.4</v>
          </cell>
          <cell r="L78">
            <v>22374.41</v>
          </cell>
          <cell r="M78">
            <v>6048.8</v>
          </cell>
        </row>
        <row r="79">
          <cell r="D79">
            <v>515</v>
          </cell>
          <cell r="E79" t="str">
            <v>四川太极成华区崔家店路药店</v>
          </cell>
          <cell r="F79" t="str">
            <v>否</v>
          </cell>
          <cell r="G79">
            <v>232</v>
          </cell>
          <cell r="H79" t="str">
            <v>东南片区</v>
          </cell>
          <cell r="I79" t="str">
            <v>曾蕾蕾</v>
          </cell>
          <cell r="J79">
            <v>283</v>
          </cell>
          <cell r="K79">
            <v>77.72</v>
          </cell>
          <cell r="L79">
            <v>21996.11</v>
          </cell>
          <cell r="M79">
            <v>6161.3</v>
          </cell>
        </row>
        <row r="80">
          <cell r="D80">
            <v>713</v>
          </cell>
          <cell r="E80" t="str">
            <v>四川太极都江堰聚源镇药店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159</v>
          </cell>
          <cell r="K80">
            <v>137.71</v>
          </cell>
          <cell r="L80">
            <v>21895.44</v>
          </cell>
          <cell r="M80">
            <v>5697.54</v>
          </cell>
        </row>
        <row r="81">
          <cell r="D81">
            <v>106865</v>
          </cell>
          <cell r="E81" t="str">
            <v>四川太极武侯区丝竹路药店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219</v>
          </cell>
          <cell r="K81">
            <v>99.06</v>
          </cell>
          <cell r="L81">
            <v>21693.6</v>
          </cell>
          <cell r="M81">
            <v>6272.51</v>
          </cell>
        </row>
        <row r="82">
          <cell r="D82">
            <v>113833</v>
          </cell>
          <cell r="E82" t="str">
            <v>四川太极青羊区光华西一路药店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331</v>
          </cell>
          <cell r="K82">
            <v>65.12</v>
          </cell>
          <cell r="L82">
            <v>21555.35</v>
          </cell>
          <cell r="M82">
            <v>6187.58</v>
          </cell>
        </row>
        <row r="83">
          <cell r="D83">
            <v>102564</v>
          </cell>
          <cell r="E83" t="str">
            <v>四川太极邛崃市临邛镇翠荫街药店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207</v>
          </cell>
          <cell r="K83">
            <v>103.88</v>
          </cell>
          <cell r="L83">
            <v>21503.98</v>
          </cell>
          <cell r="M83">
            <v>5351.87</v>
          </cell>
        </row>
        <row r="84">
          <cell r="D84">
            <v>367</v>
          </cell>
          <cell r="E84" t="str">
            <v>四川太极金带街药店</v>
          </cell>
          <cell r="F84" t="str">
            <v>否</v>
          </cell>
          <cell r="G84">
            <v>341</v>
          </cell>
          <cell r="H84" t="str">
            <v>崇州片</v>
          </cell>
          <cell r="I84" t="str">
            <v>胡建梅</v>
          </cell>
          <cell r="J84">
            <v>247</v>
          </cell>
          <cell r="K84">
            <v>85.44</v>
          </cell>
          <cell r="L84">
            <v>21103.25</v>
          </cell>
          <cell r="M84">
            <v>5801.19</v>
          </cell>
        </row>
        <row r="85">
          <cell r="D85">
            <v>113008</v>
          </cell>
          <cell r="E85" t="str">
            <v>四川太极成都高新区尚锦路药店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240</v>
          </cell>
          <cell r="K85">
            <v>87.81</v>
          </cell>
          <cell r="L85">
            <v>21074.65</v>
          </cell>
          <cell r="M85">
            <v>4718.69</v>
          </cell>
        </row>
        <row r="86">
          <cell r="D86">
            <v>594</v>
          </cell>
          <cell r="E86" t="str">
            <v>四川太极大邑县安仁镇千禧街药店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281</v>
          </cell>
          <cell r="K86">
            <v>74.38</v>
          </cell>
          <cell r="L86">
            <v>20900.49</v>
          </cell>
          <cell r="M86">
            <v>6272.14</v>
          </cell>
        </row>
        <row r="87">
          <cell r="D87">
            <v>738</v>
          </cell>
          <cell r="E87" t="str">
            <v>四川太极都江堰市蒲阳路药店</v>
          </cell>
          <cell r="F87" t="str">
            <v>否</v>
          </cell>
          <cell r="G87">
            <v>233</v>
          </cell>
          <cell r="H87" t="str">
            <v>都江堰片</v>
          </cell>
          <cell r="I87" t="str">
            <v>苗凯</v>
          </cell>
          <cell r="J87">
            <v>213</v>
          </cell>
          <cell r="K87">
            <v>97.8</v>
          </cell>
          <cell r="L87">
            <v>20831.53</v>
          </cell>
          <cell r="M87">
            <v>6295.71</v>
          </cell>
        </row>
        <row r="88">
          <cell r="D88">
            <v>743</v>
          </cell>
          <cell r="E88" t="str">
            <v>四川太极成华区万宇路药店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282</v>
          </cell>
          <cell r="K88">
            <v>73.51</v>
          </cell>
          <cell r="L88">
            <v>20728.55</v>
          </cell>
          <cell r="M88">
            <v>5777.06</v>
          </cell>
        </row>
        <row r="89">
          <cell r="D89">
            <v>114622</v>
          </cell>
          <cell r="E89" t="str">
            <v>四川太极成华区东昌路一药店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368</v>
          </cell>
          <cell r="K89">
            <v>55.82</v>
          </cell>
          <cell r="L89">
            <v>20540.2</v>
          </cell>
          <cell r="M89">
            <v>6453.3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273</v>
          </cell>
          <cell r="K90">
            <v>73.6</v>
          </cell>
          <cell r="L90">
            <v>20092.34</v>
          </cell>
          <cell r="M90">
            <v>6665.99</v>
          </cell>
        </row>
        <row r="91">
          <cell r="D91">
            <v>116919</v>
          </cell>
          <cell r="E91" t="str">
            <v>四川太极武侯区科华北路药店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248</v>
          </cell>
          <cell r="K91">
            <v>80.71</v>
          </cell>
          <cell r="L91">
            <v>20015.3</v>
          </cell>
          <cell r="M91">
            <v>6237.91</v>
          </cell>
        </row>
        <row r="92">
          <cell r="D92">
            <v>308</v>
          </cell>
          <cell r="E92" t="str">
            <v>四川太极红星店</v>
          </cell>
          <cell r="F92" t="str">
            <v>是</v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277</v>
          </cell>
          <cell r="K92">
            <v>71.66</v>
          </cell>
          <cell r="L92">
            <v>19849.94</v>
          </cell>
          <cell r="M92">
            <v>7501.05</v>
          </cell>
        </row>
        <row r="93">
          <cell r="D93">
            <v>112415</v>
          </cell>
          <cell r="E93" t="str">
            <v>四川太极金牛区五福桥东路药店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254</v>
          </cell>
          <cell r="K93">
            <v>77.04</v>
          </cell>
          <cell r="L93">
            <v>19568.49</v>
          </cell>
          <cell r="M93">
            <v>3893.37</v>
          </cell>
        </row>
        <row r="94">
          <cell r="D94">
            <v>733</v>
          </cell>
          <cell r="E94" t="str">
            <v>四川太极双流区东升街道三强西路药店</v>
          </cell>
          <cell r="F94" t="str">
            <v>否</v>
          </cell>
          <cell r="G94">
            <v>232</v>
          </cell>
          <cell r="H94" t="str">
            <v>东南片区</v>
          </cell>
          <cell r="I94" t="str">
            <v>曾蕾蕾</v>
          </cell>
          <cell r="J94">
            <v>260</v>
          </cell>
          <cell r="K94">
            <v>74.49</v>
          </cell>
          <cell r="L94">
            <v>19368.24</v>
          </cell>
          <cell r="M94">
            <v>6211.61</v>
          </cell>
        </row>
        <row r="95">
          <cell r="D95">
            <v>116773</v>
          </cell>
          <cell r="E95" t="str">
            <v>四川太极青羊区经一路药店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315</v>
          </cell>
          <cell r="K95">
            <v>61.06</v>
          </cell>
          <cell r="L95">
            <v>19233.23</v>
          </cell>
          <cell r="M95">
            <v>6009.09</v>
          </cell>
        </row>
        <row r="96">
          <cell r="D96">
            <v>549</v>
          </cell>
          <cell r="E96" t="str">
            <v>四川太极大邑县晋源镇东壕沟段药店</v>
          </cell>
          <cell r="F96" t="str">
            <v>否</v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165</v>
          </cell>
          <cell r="K96">
            <v>115.27</v>
          </cell>
          <cell r="L96">
            <v>19020.24</v>
          </cell>
          <cell r="M96">
            <v>5164.91</v>
          </cell>
        </row>
        <row r="97">
          <cell r="D97">
            <v>351</v>
          </cell>
          <cell r="E97" t="str">
            <v>四川太极都江堰药店</v>
          </cell>
          <cell r="F97" t="str">
            <v>是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185</v>
          </cell>
          <cell r="K97">
            <v>102.04</v>
          </cell>
          <cell r="L97">
            <v>18876.62</v>
          </cell>
          <cell r="M97">
            <v>4931.46</v>
          </cell>
        </row>
        <row r="98">
          <cell r="D98">
            <v>745</v>
          </cell>
          <cell r="E98" t="str">
            <v>四川太极金牛区金沙路药店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306</v>
          </cell>
          <cell r="K98">
            <v>60.98</v>
          </cell>
          <cell r="L98">
            <v>18661.4</v>
          </cell>
          <cell r="M98">
            <v>5317.2</v>
          </cell>
        </row>
        <row r="99">
          <cell r="D99">
            <v>706</v>
          </cell>
          <cell r="E99" t="str">
            <v>四川太极都江堰幸福镇翔凤路药店</v>
          </cell>
          <cell r="F99" t="str">
            <v>否</v>
          </cell>
          <cell r="G99">
            <v>233</v>
          </cell>
          <cell r="H99" t="str">
            <v>都江堰片</v>
          </cell>
          <cell r="I99" t="str">
            <v>苗凯</v>
          </cell>
          <cell r="J99">
            <v>219</v>
          </cell>
          <cell r="K99">
            <v>84.95</v>
          </cell>
          <cell r="L99">
            <v>18603.95</v>
          </cell>
          <cell r="M99">
            <v>5319.91</v>
          </cell>
        </row>
        <row r="100">
          <cell r="D100">
            <v>102567</v>
          </cell>
          <cell r="E100" t="str">
            <v>四川太极新津县五津镇武阳西路药店</v>
          </cell>
          <cell r="F100" t="str">
            <v/>
          </cell>
          <cell r="G100">
            <v>281</v>
          </cell>
          <cell r="H100" t="str">
            <v>新津片</v>
          </cell>
          <cell r="I100" t="str">
            <v>王燕丽</v>
          </cell>
          <cell r="J100">
            <v>160</v>
          </cell>
          <cell r="K100">
            <v>114.75</v>
          </cell>
          <cell r="L100">
            <v>18360.28</v>
          </cell>
          <cell r="M100">
            <v>5016.59</v>
          </cell>
        </row>
        <row r="101">
          <cell r="D101">
            <v>102935</v>
          </cell>
          <cell r="E101" t="str">
            <v>四川太极青羊区童子街药店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230</v>
          </cell>
          <cell r="K101">
            <v>79.58</v>
          </cell>
          <cell r="L101">
            <v>18303.38</v>
          </cell>
          <cell r="M101">
            <v>5742.68</v>
          </cell>
        </row>
        <row r="102">
          <cell r="D102">
            <v>102565</v>
          </cell>
          <cell r="E102" t="str">
            <v>四川太极武侯区佳灵路药店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284</v>
          </cell>
          <cell r="K102">
            <v>64.29</v>
          </cell>
          <cell r="L102">
            <v>18257.71</v>
          </cell>
          <cell r="M102">
            <v>6117.77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233</v>
          </cell>
          <cell r="H103" t="str">
            <v>都江堰片</v>
          </cell>
          <cell r="I103" t="str">
            <v>苗凯</v>
          </cell>
          <cell r="J103">
            <v>287</v>
          </cell>
          <cell r="K103">
            <v>62.69</v>
          </cell>
          <cell r="L103">
            <v>17990.82</v>
          </cell>
          <cell r="M103">
            <v>4771.92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167</v>
          </cell>
          <cell r="K104">
            <v>107.25</v>
          </cell>
          <cell r="L104">
            <v>17910.95</v>
          </cell>
          <cell r="M104">
            <v>4933.39</v>
          </cell>
        </row>
        <row r="105">
          <cell r="D105">
            <v>119263</v>
          </cell>
          <cell r="E105" t="str">
            <v>四川太极青羊区蜀源路药店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266</v>
          </cell>
          <cell r="K105">
            <v>66.14</v>
          </cell>
          <cell r="L105">
            <v>17593.86</v>
          </cell>
          <cell r="M105">
            <v>4740.84</v>
          </cell>
        </row>
        <row r="106">
          <cell r="D106">
            <v>105751</v>
          </cell>
          <cell r="E106" t="str">
            <v>四川太极高新区新下街药店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231</v>
          </cell>
          <cell r="K106">
            <v>74.57</v>
          </cell>
          <cell r="L106">
            <v>17226.17</v>
          </cell>
          <cell r="M106">
            <v>5522.94</v>
          </cell>
        </row>
        <row r="107">
          <cell r="D107">
            <v>570</v>
          </cell>
          <cell r="E107" t="str">
            <v>四川太极青羊区大石西路药店</v>
          </cell>
          <cell r="F107" t="str">
            <v>否</v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237</v>
          </cell>
          <cell r="K107">
            <v>72.58</v>
          </cell>
          <cell r="L107">
            <v>17201.96</v>
          </cell>
          <cell r="M107">
            <v>5213.08</v>
          </cell>
        </row>
        <row r="108">
          <cell r="D108">
            <v>116482</v>
          </cell>
          <cell r="E108" t="str">
            <v>四川太极锦江区宏济中路药店</v>
          </cell>
          <cell r="F108" t="str">
            <v/>
          </cell>
          <cell r="G108">
            <v>23</v>
          </cell>
          <cell r="H108" t="str">
            <v>城中片</v>
          </cell>
          <cell r="I108" t="str">
            <v>何巍 </v>
          </cell>
          <cell r="J108">
            <v>161</v>
          </cell>
          <cell r="K108">
            <v>105.79</v>
          </cell>
          <cell r="L108">
            <v>17031.55</v>
          </cell>
          <cell r="M108">
            <v>3867.16</v>
          </cell>
        </row>
        <row r="109">
          <cell r="D109">
            <v>723</v>
          </cell>
          <cell r="E109" t="str">
            <v>四川太极锦江区柳翠路药店</v>
          </cell>
          <cell r="F109" t="str">
            <v>否</v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281</v>
          </cell>
          <cell r="K109">
            <v>60.08</v>
          </cell>
          <cell r="L109">
            <v>16883.74</v>
          </cell>
          <cell r="M109">
            <v>5106.05</v>
          </cell>
        </row>
        <row r="110">
          <cell r="D110">
            <v>727</v>
          </cell>
          <cell r="E110" t="str">
            <v>四川太极金牛区黄苑东街药店</v>
          </cell>
          <cell r="F110" t="str">
            <v>否</v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253</v>
          </cell>
          <cell r="K110">
            <v>66.7</v>
          </cell>
          <cell r="L110">
            <v>16874.52</v>
          </cell>
          <cell r="M110">
            <v>5313.8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297</v>
          </cell>
          <cell r="K111">
            <v>54.79</v>
          </cell>
          <cell r="L111">
            <v>16273.09</v>
          </cell>
          <cell r="M111">
            <v>5165.45</v>
          </cell>
        </row>
        <row r="112">
          <cell r="D112">
            <v>52</v>
          </cell>
          <cell r="E112" t="str">
            <v>四川太极崇州中心店</v>
          </cell>
          <cell r="F112" t="str">
            <v>是</v>
          </cell>
          <cell r="G112">
            <v>341</v>
          </cell>
          <cell r="H112" t="str">
            <v>崇州片</v>
          </cell>
          <cell r="I112" t="str">
            <v>胡建梅</v>
          </cell>
          <cell r="J112">
            <v>204</v>
          </cell>
          <cell r="K112">
            <v>79.27</v>
          </cell>
          <cell r="L112">
            <v>16170.87</v>
          </cell>
          <cell r="M112">
            <v>5306.72</v>
          </cell>
        </row>
        <row r="113">
          <cell r="D113">
            <v>113298</v>
          </cell>
          <cell r="E113" t="str">
            <v>四川太极武侯区逸都路药店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185</v>
          </cell>
          <cell r="K113">
            <v>87.28</v>
          </cell>
          <cell r="L113">
            <v>16147.28</v>
          </cell>
          <cell r="M113">
            <v>3966.42</v>
          </cell>
        </row>
        <row r="114">
          <cell r="D114">
            <v>740</v>
          </cell>
          <cell r="E114" t="str">
            <v>四川太极成华区华康路药店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261</v>
          </cell>
          <cell r="K114">
            <v>61.32</v>
          </cell>
          <cell r="L114">
            <v>16005.38</v>
          </cell>
          <cell r="M114">
            <v>5378.56</v>
          </cell>
        </row>
        <row r="115">
          <cell r="D115">
            <v>573</v>
          </cell>
          <cell r="E115" t="str">
            <v>四川太极双流县西航港街道锦华路一段药店</v>
          </cell>
          <cell r="F115" t="str">
            <v>否</v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235</v>
          </cell>
          <cell r="K115">
            <v>65</v>
          </cell>
          <cell r="L115">
            <v>15275.64</v>
          </cell>
          <cell r="M115">
            <v>4986.89</v>
          </cell>
        </row>
        <row r="116">
          <cell r="D116">
            <v>102479</v>
          </cell>
          <cell r="E116" t="str">
            <v>四川太极锦江区劼人路药店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167</v>
          </cell>
          <cell r="K116">
            <v>91.3</v>
          </cell>
          <cell r="L116">
            <v>15246.75</v>
          </cell>
          <cell r="M116">
            <v>4644.82</v>
          </cell>
        </row>
        <row r="117">
          <cell r="D117">
            <v>339</v>
          </cell>
          <cell r="E117" t="str">
            <v>四川太极沙河源药店</v>
          </cell>
          <cell r="F117" t="str">
            <v>是</v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187</v>
          </cell>
          <cell r="K117">
            <v>81.11</v>
          </cell>
          <cell r="L117">
            <v>15167.67</v>
          </cell>
          <cell r="M117">
            <v>4154.45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290</v>
          </cell>
          <cell r="K118">
            <v>52.28</v>
          </cell>
          <cell r="L118">
            <v>15161.95</v>
          </cell>
          <cell r="M118">
            <v>4519.95</v>
          </cell>
        </row>
        <row r="119">
          <cell r="D119">
            <v>104429</v>
          </cell>
          <cell r="E119" t="str">
            <v>四川太极武侯区大华街药店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236</v>
          </cell>
          <cell r="K119">
            <v>62.06</v>
          </cell>
          <cell r="L119">
            <v>14646.98</v>
          </cell>
          <cell r="M119">
            <v>3646.83</v>
          </cell>
        </row>
        <row r="120">
          <cell r="D120">
            <v>122906</v>
          </cell>
          <cell r="E120" t="str">
            <v>四川太极新都区斑竹园街道医贸大道药店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280</v>
          </cell>
          <cell r="K120">
            <v>51.94</v>
          </cell>
          <cell r="L120">
            <v>14542.63</v>
          </cell>
          <cell r="M120">
            <v>4591.08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170</v>
          </cell>
          <cell r="K121">
            <v>83.61</v>
          </cell>
          <cell r="L121">
            <v>14213.28</v>
          </cell>
          <cell r="M121">
            <v>4203.9</v>
          </cell>
        </row>
        <row r="122">
          <cell r="D122">
            <v>112888</v>
          </cell>
          <cell r="E122" t="str">
            <v>四川太极武侯区双楠路药店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171</v>
          </cell>
          <cell r="K122">
            <v>82.77</v>
          </cell>
          <cell r="L122">
            <v>14154.5</v>
          </cell>
          <cell r="M122">
            <v>3996.13</v>
          </cell>
        </row>
        <row r="123">
          <cell r="D123">
            <v>710</v>
          </cell>
          <cell r="E123" t="str">
            <v>四川太极都江堰市蒲阳镇堰问道西路药店</v>
          </cell>
          <cell r="F123" t="str">
            <v>否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227</v>
          </cell>
          <cell r="K123">
            <v>62.33</v>
          </cell>
          <cell r="L123">
            <v>14149.32</v>
          </cell>
          <cell r="M123">
            <v>4979.95</v>
          </cell>
        </row>
        <row r="124">
          <cell r="D124">
            <v>117310</v>
          </cell>
          <cell r="E124" t="str">
            <v>四川太极武侯区长寿路药店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225</v>
          </cell>
          <cell r="K124">
            <v>59.9</v>
          </cell>
          <cell r="L124">
            <v>13477.65</v>
          </cell>
          <cell r="M124">
            <v>3707.27</v>
          </cell>
        </row>
        <row r="125">
          <cell r="D125">
            <v>106568</v>
          </cell>
          <cell r="E125" t="str">
            <v>四川太极高新区中和公济桥路药店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180</v>
          </cell>
          <cell r="K125">
            <v>72.92</v>
          </cell>
          <cell r="L125">
            <v>13125.02</v>
          </cell>
          <cell r="M125">
            <v>4613.15</v>
          </cell>
        </row>
        <row r="126">
          <cell r="D126">
            <v>113025</v>
          </cell>
          <cell r="E126" t="str">
            <v>四川太极青羊区蜀鑫路药店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215</v>
          </cell>
          <cell r="K126">
            <v>60.93</v>
          </cell>
          <cell r="L126">
            <v>13101.02</v>
          </cell>
          <cell r="M126">
            <v>4247.82</v>
          </cell>
        </row>
        <row r="127">
          <cell r="D127">
            <v>117923</v>
          </cell>
          <cell r="E127" t="str">
            <v>四川太极大邑县观音阁街西段店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192</v>
          </cell>
          <cell r="K127">
            <v>66.46</v>
          </cell>
          <cell r="L127">
            <v>12759.47</v>
          </cell>
          <cell r="M127">
            <v>3117.12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203</v>
          </cell>
          <cell r="K128">
            <v>62.73</v>
          </cell>
          <cell r="L128">
            <v>12734.99</v>
          </cell>
          <cell r="M128">
            <v>3620.92</v>
          </cell>
        </row>
        <row r="129">
          <cell r="D129">
            <v>56</v>
          </cell>
          <cell r="E129" t="str">
            <v>四川太极三江店</v>
          </cell>
          <cell r="F129" t="str">
            <v>是</v>
          </cell>
          <cell r="G129">
            <v>341</v>
          </cell>
          <cell r="H129" t="str">
            <v>崇州片</v>
          </cell>
          <cell r="I129" t="str">
            <v>胡建梅</v>
          </cell>
          <cell r="J129">
            <v>173</v>
          </cell>
          <cell r="K129">
            <v>70.86</v>
          </cell>
          <cell r="L129">
            <v>12258.79</v>
          </cell>
          <cell r="M129">
            <v>3662.97</v>
          </cell>
        </row>
        <row r="130">
          <cell r="D130">
            <v>104838</v>
          </cell>
          <cell r="E130" t="str">
            <v>四川太极崇州市崇阳镇蜀州中路药店</v>
          </cell>
          <cell r="F130" t="str">
            <v/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209</v>
          </cell>
          <cell r="K130">
            <v>58.38</v>
          </cell>
          <cell r="L130">
            <v>12200.57</v>
          </cell>
          <cell r="M130">
            <v>3679.61</v>
          </cell>
        </row>
        <row r="131">
          <cell r="D131">
            <v>720</v>
          </cell>
          <cell r="E131" t="str">
            <v>四川太极大邑县新场镇文昌街药店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175</v>
          </cell>
          <cell r="K131">
            <v>66.34</v>
          </cell>
          <cell r="L131">
            <v>11609.12</v>
          </cell>
          <cell r="M131">
            <v>3224.31</v>
          </cell>
        </row>
        <row r="132">
          <cell r="D132">
            <v>118758</v>
          </cell>
          <cell r="E132" t="str">
            <v>四川太极成华区水碾河路药店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121</v>
          </cell>
          <cell r="K132">
            <v>94.51</v>
          </cell>
          <cell r="L132">
            <v>11435.78</v>
          </cell>
          <cell r="M132">
            <v>2501.68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159</v>
          </cell>
          <cell r="K133">
            <v>71.65</v>
          </cell>
          <cell r="L133">
            <v>11391.6</v>
          </cell>
          <cell r="M133">
            <v>3657.58</v>
          </cell>
        </row>
        <row r="134">
          <cell r="D134">
            <v>119262</v>
          </cell>
          <cell r="E134" t="str">
            <v>四川太极成华区驷马桥三路药店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186</v>
          </cell>
          <cell r="K134">
            <v>60.63</v>
          </cell>
          <cell r="L134">
            <v>11276.49</v>
          </cell>
          <cell r="M134">
            <v>3562.55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198</v>
          </cell>
          <cell r="K135">
            <v>55.58</v>
          </cell>
          <cell r="L135">
            <v>11004.15</v>
          </cell>
          <cell r="M135">
            <v>4122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147</v>
          </cell>
          <cell r="K136">
            <v>65.97</v>
          </cell>
          <cell r="L136">
            <v>9697.86</v>
          </cell>
          <cell r="M136">
            <v>3271.6</v>
          </cell>
        </row>
        <row r="137">
          <cell r="D137">
            <v>117637</v>
          </cell>
          <cell r="E137" t="str">
            <v>四川太极大邑晋原街道金巷西街药店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127</v>
          </cell>
          <cell r="K137">
            <v>69.56</v>
          </cell>
          <cell r="L137">
            <v>8834.22</v>
          </cell>
          <cell r="M137">
            <v>2606.05</v>
          </cell>
        </row>
        <row r="138">
          <cell r="D138">
            <v>371</v>
          </cell>
          <cell r="E138" t="str">
            <v>四川太极兴义镇万兴路药店</v>
          </cell>
          <cell r="F138" t="str">
            <v>否</v>
          </cell>
          <cell r="G138">
            <v>281</v>
          </cell>
          <cell r="H138" t="str">
            <v>新津片</v>
          </cell>
          <cell r="I138" t="str">
            <v>王燕丽</v>
          </cell>
          <cell r="J138">
            <v>144</v>
          </cell>
          <cell r="K138">
            <v>60.08</v>
          </cell>
          <cell r="L138">
            <v>8652.15</v>
          </cell>
          <cell r="M138">
            <v>2717.75</v>
          </cell>
        </row>
        <row r="139">
          <cell r="D139">
            <v>123007</v>
          </cell>
          <cell r="E139" t="str">
            <v>四川太极大邑县青霞街道元通路南段药店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151</v>
          </cell>
          <cell r="K139">
            <v>53.41</v>
          </cell>
          <cell r="L139">
            <v>8065.37</v>
          </cell>
          <cell r="M139">
            <v>2776.5</v>
          </cell>
        </row>
        <row r="140">
          <cell r="D140">
            <v>122686</v>
          </cell>
          <cell r="E140" t="str">
            <v>四川太极大邑县晋原街道蜀望路药店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106</v>
          </cell>
          <cell r="K140">
            <v>74.58</v>
          </cell>
          <cell r="L140">
            <v>7904.96</v>
          </cell>
          <cell r="M140">
            <v>2400.2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56.65</v>
          </cell>
          <cell r="L141">
            <v>5608.53</v>
          </cell>
          <cell r="M141">
            <v>1775.84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75</v>
          </cell>
          <cell r="K142">
            <v>65.22</v>
          </cell>
          <cell r="L142">
            <v>4891.48</v>
          </cell>
          <cell r="M142">
            <v>1422.05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126</v>
          </cell>
          <cell r="K143">
            <v>36.99</v>
          </cell>
          <cell r="L143">
            <v>4661.15</v>
          </cell>
          <cell r="M143">
            <v>756.98</v>
          </cell>
        </row>
        <row r="144">
          <cell r="D144">
            <v>114848</v>
          </cell>
          <cell r="E144" t="str">
            <v>四川太极成都高新区泰和二街二药店 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90</v>
          </cell>
          <cell r="K144">
            <v>45</v>
          </cell>
          <cell r="L144">
            <v>4050.08</v>
          </cell>
          <cell r="M144">
            <v>1383.06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70</v>
          </cell>
          <cell r="K145">
            <v>44.76</v>
          </cell>
          <cell r="L145">
            <v>3132.86</v>
          </cell>
          <cell r="M145">
            <v>1072.4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42540</v>
          </cell>
          <cell r="K146">
            <v>119.53</v>
          </cell>
          <cell r="L146">
            <v>5084836.16</v>
          </cell>
          <cell r="M146">
            <v>1166071.99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750</v>
          </cell>
          <cell r="E2" t="str">
            <v>成都成汉太极大药房有限公司</v>
          </cell>
          <cell r="F2" t="str">
            <v/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510</v>
          </cell>
          <cell r="K2">
            <v>1540.2</v>
          </cell>
          <cell r="L2">
            <v>785503.27</v>
          </cell>
          <cell r="M2">
            <v>-46702.93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738</v>
          </cell>
          <cell r="K3">
            <v>352.88</v>
          </cell>
          <cell r="L3">
            <v>260429.04</v>
          </cell>
          <cell r="M3">
            <v>45626.62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646</v>
          </cell>
          <cell r="K4">
            <v>160.04</v>
          </cell>
          <cell r="L4">
            <v>103385.68</v>
          </cell>
          <cell r="M4">
            <v>21032.7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473</v>
          </cell>
          <cell r="K5">
            <v>173.22</v>
          </cell>
          <cell r="L5">
            <v>81935.4</v>
          </cell>
          <cell r="M5">
            <v>12839.14</v>
          </cell>
        </row>
        <row r="6">
          <cell r="D6">
            <v>365</v>
          </cell>
          <cell r="E6" t="str">
            <v>四川太极光华村街药店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424</v>
          </cell>
          <cell r="K6">
            <v>183.73</v>
          </cell>
          <cell r="L6">
            <v>77902.52</v>
          </cell>
          <cell r="M6">
            <v>15637.86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400</v>
          </cell>
          <cell r="K7">
            <v>151.66</v>
          </cell>
          <cell r="L7">
            <v>60662.2</v>
          </cell>
          <cell r="M7">
            <v>15101.99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565</v>
          </cell>
          <cell r="K8">
            <v>106.9</v>
          </cell>
          <cell r="L8">
            <v>60396.19</v>
          </cell>
          <cell r="M8">
            <v>8805.48</v>
          </cell>
        </row>
        <row r="9">
          <cell r="D9">
            <v>712</v>
          </cell>
          <cell r="E9" t="str">
            <v>四川太极成华区华泰路药店</v>
          </cell>
          <cell r="F9" t="str">
            <v>否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472</v>
          </cell>
          <cell r="K9">
            <v>126.51</v>
          </cell>
          <cell r="L9">
            <v>59714.7</v>
          </cell>
          <cell r="M9">
            <v>14901.86</v>
          </cell>
        </row>
        <row r="10">
          <cell r="D10">
            <v>707</v>
          </cell>
          <cell r="E10" t="str">
            <v>四川太极成华区万科路药店</v>
          </cell>
          <cell r="F10" t="str">
            <v>否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500</v>
          </cell>
          <cell r="K10">
            <v>112.54</v>
          </cell>
          <cell r="L10">
            <v>56271.54</v>
          </cell>
          <cell r="M10">
            <v>14799.27</v>
          </cell>
        </row>
        <row r="11">
          <cell r="D11">
            <v>114685</v>
          </cell>
          <cell r="E11" t="str">
            <v>四川太极青羊区青龙街药店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304</v>
          </cell>
          <cell r="K11">
            <v>160.9</v>
          </cell>
          <cell r="L11">
            <v>48913.41</v>
          </cell>
          <cell r="M11">
            <v>6620.61</v>
          </cell>
        </row>
        <row r="12">
          <cell r="D12">
            <v>377</v>
          </cell>
          <cell r="E12" t="str">
            <v>四川太极新园大道药店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349</v>
          </cell>
          <cell r="K12">
            <v>117.67</v>
          </cell>
          <cell r="L12">
            <v>41067.67</v>
          </cell>
          <cell r="M12">
            <v>10696.46</v>
          </cell>
        </row>
        <row r="13">
          <cell r="D13">
            <v>103198</v>
          </cell>
          <cell r="E13" t="str">
            <v>四川太极青羊区贝森北路药店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348</v>
          </cell>
          <cell r="K13">
            <v>116.36</v>
          </cell>
          <cell r="L13">
            <v>40492.11</v>
          </cell>
          <cell r="M13">
            <v>9429.28</v>
          </cell>
        </row>
        <row r="14">
          <cell r="D14">
            <v>118074</v>
          </cell>
          <cell r="E14" t="str">
            <v>四川太极高新区泰和二街药店</v>
          </cell>
          <cell r="F14" t="str">
            <v/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315</v>
          </cell>
          <cell r="K14">
            <v>128.3</v>
          </cell>
          <cell r="L14">
            <v>40414.66</v>
          </cell>
          <cell r="M14">
            <v>12008.51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224</v>
          </cell>
          <cell r="K15">
            <v>173.85</v>
          </cell>
          <cell r="L15">
            <v>38941.45</v>
          </cell>
          <cell r="M15">
            <v>9127.1</v>
          </cell>
        </row>
        <row r="16">
          <cell r="D16">
            <v>571</v>
          </cell>
          <cell r="E16" t="str">
            <v>四川太极高新区锦城大道药店</v>
          </cell>
          <cell r="F16" t="str">
            <v>是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346</v>
          </cell>
          <cell r="K16">
            <v>107.55</v>
          </cell>
          <cell r="L16">
            <v>37210.87</v>
          </cell>
          <cell r="M16">
            <v>10319.92</v>
          </cell>
        </row>
        <row r="17">
          <cell r="D17">
            <v>107658</v>
          </cell>
          <cell r="E17" t="str">
            <v>四川太极新都区新都街道万和北路药店</v>
          </cell>
          <cell r="F17" t="str">
            <v/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435</v>
          </cell>
          <cell r="K17">
            <v>76.21</v>
          </cell>
          <cell r="L17">
            <v>33153.17</v>
          </cell>
          <cell r="M17">
            <v>9527.61</v>
          </cell>
        </row>
        <row r="18">
          <cell r="D18">
            <v>585</v>
          </cell>
          <cell r="E18" t="str">
            <v>四川太极成华区羊子山西路药店（兴元华盛）</v>
          </cell>
          <cell r="F18" t="str">
            <v>否</v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407</v>
          </cell>
          <cell r="K18">
            <v>81.05</v>
          </cell>
          <cell r="L18">
            <v>32988.69</v>
          </cell>
          <cell r="M18">
            <v>9688.58</v>
          </cell>
        </row>
        <row r="19">
          <cell r="D19">
            <v>101453</v>
          </cell>
          <cell r="E19" t="str">
            <v>四川太极温江区公平街道江安路药店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315</v>
          </cell>
          <cell r="K19">
            <v>102.89</v>
          </cell>
          <cell r="L19">
            <v>32410.47</v>
          </cell>
          <cell r="M19">
            <v>4185.69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308</v>
          </cell>
          <cell r="K20">
            <v>100.44</v>
          </cell>
          <cell r="L20">
            <v>30934.97</v>
          </cell>
          <cell r="M20">
            <v>8442.07</v>
          </cell>
        </row>
        <row r="21">
          <cell r="D21">
            <v>117491</v>
          </cell>
          <cell r="E21" t="str">
            <v>四川太极金牛区花照壁中横街药店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215</v>
          </cell>
          <cell r="K21">
            <v>143.83</v>
          </cell>
          <cell r="L21">
            <v>30922.73</v>
          </cell>
          <cell r="M21">
            <v>5907.1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397</v>
          </cell>
          <cell r="K22">
            <v>77.12</v>
          </cell>
          <cell r="L22">
            <v>30615.49</v>
          </cell>
          <cell r="M22">
            <v>9075.06</v>
          </cell>
        </row>
        <row r="23">
          <cell r="D23">
            <v>341</v>
          </cell>
          <cell r="E23" t="str">
            <v>四川太极邛崃中心药店</v>
          </cell>
          <cell r="F23" t="str">
            <v>是</v>
          </cell>
          <cell r="G23">
            <v>282</v>
          </cell>
          <cell r="H23" t="str">
            <v>城郊一片</v>
          </cell>
          <cell r="I23" t="str">
            <v>任会茹</v>
          </cell>
          <cell r="J23">
            <v>325</v>
          </cell>
          <cell r="K23">
            <v>94.11</v>
          </cell>
          <cell r="L23">
            <v>30585.93</v>
          </cell>
          <cell r="M23">
            <v>9757.19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347</v>
          </cell>
          <cell r="K24">
            <v>84.67</v>
          </cell>
          <cell r="L24">
            <v>29379.65</v>
          </cell>
          <cell r="M24">
            <v>7566.38</v>
          </cell>
        </row>
        <row r="25">
          <cell r="D25">
            <v>106399</v>
          </cell>
          <cell r="E25" t="str">
            <v>四川太极青羊区蜀辉路药店</v>
          </cell>
          <cell r="F25" t="str">
            <v/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261</v>
          </cell>
          <cell r="K25">
            <v>112.02</v>
          </cell>
          <cell r="L25">
            <v>29238.28</v>
          </cell>
          <cell r="M25">
            <v>9285.34</v>
          </cell>
        </row>
        <row r="26">
          <cell r="D26">
            <v>357</v>
          </cell>
          <cell r="E26" t="str">
            <v>四川太极清江东路药店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265</v>
          </cell>
          <cell r="K26">
            <v>110.05</v>
          </cell>
          <cell r="L26">
            <v>29163.28</v>
          </cell>
          <cell r="M26">
            <v>7923.28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344</v>
          </cell>
          <cell r="K27">
            <v>83.98</v>
          </cell>
          <cell r="L27">
            <v>28888.95</v>
          </cell>
          <cell r="M27">
            <v>9200.11</v>
          </cell>
        </row>
        <row r="28">
          <cell r="D28">
            <v>373</v>
          </cell>
          <cell r="E28" t="str">
            <v>四川太极通盈街药店</v>
          </cell>
          <cell r="F28" t="str">
            <v>否</v>
          </cell>
          <cell r="G28">
            <v>23</v>
          </cell>
          <cell r="H28" t="str">
            <v>城中片</v>
          </cell>
          <cell r="I28" t="str">
            <v>何巍 </v>
          </cell>
          <cell r="J28">
            <v>269</v>
          </cell>
          <cell r="K28">
            <v>106.81</v>
          </cell>
          <cell r="L28">
            <v>28732.29</v>
          </cell>
          <cell r="M28">
            <v>9544.93</v>
          </cell>
        </row>
        <row r="29">
          <cell r="D29">
            <v>114844</v>
          </cell>
          <cell r="E29" t="str">
            <v>四川太极成华区培华东路药店</v>
          </cell>
          <cell r="F29" t="str">
            <v/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208</v>
          </cell>
          <cell r="K29">
            <v>138.02</v>
          </cell>
          <cell r="L29">
            <v>28708.35</v>
          </cell>
          <cell r="M29">
            <v>5719.99</v>
          </cell>
        </row>
        <row r="30">
          <cell r="D30">
            <v>514</v>
          </cell>
          <cell r="E30" t="str">
            <v>四川太极新津邓双镇岷江店</v>
          </cell>
          <cell r="F30" t="str">
            <v>否</v>
          </cell>
          <cell r="G30">
            <v>281</v>
          </cell>
          <cell r="H30" t="str">
            <v>新津片</v>
          </cell>
          <cell r="I30" t="str">
            <v>王燕丽</v>
          </cell>
          <cell r="J30">
            <v>403</v>
          </cell>
          <cell r="K30">
            <v>70.82</v>
          </cell>
          <cell r="L30">
            <v>28541.59</v>
          </cell>
          <cell r="M30">
            <v>9344.44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304</v>
          </cell>
          <cell r="K31">
            <v>91.6</v>
          </cell>
          <cell r="L31">
            <v>27846.31</v>
          </cell>
          <cell r="M31">
            <v>8000.2</v>
          </cell>
        </row>
        <row r="32">
          <cell r="D32">
            <v>111400</v>
          </cell>
          <cell r="E32" t="str">
            <v>四川太极邛崃市文君街道杏林路药店</v>
          </cell>
          <cell r="F32" t="str">
            <v/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267</v>
          </cell>
          <cell r="K32">
            <v>102.66</v>
          </cell>
          <cell r="L32">
            <v>27409.03</v>
          </cell>
          <cell r="M32">
            <v>5639.5</v>
          </cell>
        </row>
        <row r="33">
          <cell r="D33">
            <v>359</v>
          </cell>
          <cell r="E33" t="str">
            <v>四川太极枣子巷药店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299</v>
          </cell>
          <cell r="K33">
            <v>89.78</v>
          </cell>
          <cell r="L33">
            <v>26843.65</v>
          </cell>
          <cell r="M33">
            <v>6340.66</v>
          </cell>
        </row>
        <row r="34">
          <cell r="D34">
            <v>54</v>
          </cell>
          <cell r="E34" t="str">
            <v>四川太极怀远店</v>
          </cell>
          <cell r="F34" t="str">
            <v>是</v>
          </cell>
          <cell r="G34">
            <v>341</v>
          </cell>
          <cell r="H34" t="str">
            <v>崇州片</v>
          </cell>
          <cell r="I34" t="str">
            <v>胡建梅</v>
          </cell>
          <cell r="J34">
            <v>288</v>
          </cell>
          <cell r="K34">
            <v>91.97</v>
          </cell>
          <cell r="L34">
            <v>26486.22</v>
          </cell>
          <cell r="M34">
            <v>7957.47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384</v>
          </cell>
          <cell r="K35">
            <v>68.65</v>
          </cell>
          <cell r="L35">
            <v>26359.71</v>
          </cell>
          <cell r="M35">
            <v>7261.32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264</v>
          </cell>
          <cell r="K36">
            <v>97.06</v>
          </cell>
          <cell r="L36">
            <v>25624.81</v>
          </cell>
          <cell r="M36">
            <v>8152.92</v>
          </cell>
        </row>
        <row r="37">
          <cell r="D37">
            <v>742</v>
          </cell>
          <cell r="E37" t="str">
            <v>四川太极锦江区庆云南街药店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221</v>
          </cell>
          <cell r="K37">
            <v>115.13</v>
          </cell>
          <cell r="L37">
            <v>25444.61</v>
          </cell>
          <cell r="M37">
            <v>6739.03</v>
          </cell>
        </row>
        <row r="38">
          <cell r="D38">
            <v>737</v>
          </cell>
          <cell r="E38" t="str">
            <v>四川太极高新区大源北街药店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257</v>
          </cell>
          <cell r="K38">
            <v>93.86</v>
          </cell>
          <cell r="L38">
            <v>24122.11</v>
          </cell>
          <cell r="M38">
            <v>5689.62</v>
          </cell>
        </row>
        <row r="39">
          <cell r="D39">
            <v>329</v>
          </cell>
          <cell r="E39" t="str">
            <v>四川太极温江店</v>
          </cell>
          <cell r="F39" t="str">
            <v>是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183</v>
          </cell>
          <cell r="K39">
            <v>129.85</v>
          </cell>
          <cell r="L39">
            <v>23762.46</v>
          </cell>
          <cell r="M39">
            <v>5128.05</v>
          </cell>
        </row>
        <row r="40">
          <cell r="D40">
            <v>114286</v>
          </cell>
          <cell r="E40" t="str">
            <v>四川太极青羊区光华北五路药店</v>
          </cell>
          <cell r="F40" t="str">
            <v/>
          </cell>
          <cell r="G40">
            <v>342</v>
          </cell>
          <cell r="H40" t="str">
            <v>西门二片</v>
          </cell>
          <cell r="I40" t="str">
            <v>林禹帅</v>
          </cell>
          <cell r="J40">
            <v>297</v>
          </cell>
          <cell r="K40">
            <v>79.82</v>
          </cell>
          <cell r="L40">
            <v>23705.07</v>
          </cell>
          <cell r="M40">
            <v>6600.95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284</v>
          </cell>
          <cell r="K41">
            <v>83.16</v>
          </cell>
          <cell r="L41">
            <v>23618.6</v>
          </cell>
          <cell r="M41">
            <v>7810.74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257</v>
          </cell>
          <cell r="K42">
            <v>90.81</v>
          </cell>
          <cell r="L42">
            <v>23338.87</v>
          </cell>
          <cell r="M42">
            <v>7001.11</v>
          </cell>
        </row>
        <row r="43">
          <cell r="D43">
            <v>717</v>
          </cell>
          <cell r="E43" t="str">
            <v>四川太极大邑县晋原镇通达东路五段药店</v>
          </cell>
          <cell r="F43" t="str">
            <v>否</v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253</v>
          </cell>
          <cell r="K43">
            <v>91.89</v>
          </cell>
          <cell r="L43">
            <v>23248.36</v>
          </cell>
          <cell r="M43">
            <v>7055.39</v>
          </cell>
        </row>
        <row r="44">
          <cell r="D44">
            <v>106066</v>
          </cell>
          <cell r="E44" t="str">
            <v>四川太极锦江区梨花街药店</v>
          </cell>
          <cell r="F44" t="str">
            <v/>
          </cell>
          <cell r="G44">
            <v>142</v>
          </cell>
          <cell r="H44" t="str">
            <v>旗舰片区</v>
          </cell>
          <cell r="I44" t="str">
            <v>谭勤娟</v>
          </cell>
          <cell r="J44">
            <v>267</v>
          </cell>
          <cell r="K44">
            <v>86.26</v>
          </cell>
          <cell r="L44">
            <v>23032.43</v>
          </cell>
          <cell r="M44">
            <v>7532.9</v>
          </cell>
        </row>
        <row r="45">
          <cell r="D45">
            <v>399</v>
          </cell>
          <cell r="E45" t="str">
            <v>四川太极高新天久北巷药店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245</v>
          </cell>
          <cell r="K45">
            <v>93.93</v>
          </cell>
          <cell r="L45">
            <v>23011.76</v>
          </cell>
          <cell r="M45">
            <v>6448.73</v>
          </cell>
        </row>
        <row r="46">
          <cell r="D46">
            <v>724</v>
          </cell>
          <cell r="E46" t="str">
            <v>四川太极锦江区观音桥街药店</v>
          </cell>
          <cell r="F46" t="str">
            <v>否</v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302</v>
          </cell>
          <cell r="K46">
            <v>75.85</v>
          </cell>
          <cell r="L46">
            <v>22907.43</v>
          </cell>
          <cell r="M46">
            <v>5413.2</v>
          </cell>
        </row>
        <row r="47">
          <cell r="D47">
            <v>108656</v>
          </cell>
          <cell r="E47" t="str">
            <v>四川太极新津县五津镇五津西路二药房</v>
          </cell>
          <cell r="F47" t="str">
            <v/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204</v>
          </cell>
          <cell r="K47">
            <v>108.12</v>
          </cell>
          <cell r="L47">
            <v>22057.38</v>
          </cell>
          <cell r="M47">
            <v>5576.52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23</v>
          </cell>
          <cell r="H48" t="str">
            <v>城中片</v>
          </cell>
          <cell r="I48" t="str">
            <v>何巍 </v>
          </cell>
          <cell r="J48">
            <v>311</v>
          </cell>
          <cell r="K48">
            <v>69.92</v>
          </cell>
          <cell r="L48">
            <v>21743.99</v>
          </cell>
          <cell r="M48">
            <v>5506.3</v>
          </cell>
        </row>
        <row r="49">
          <cell r="D49">
            <v>746</v>
          </cell>
          <cell r="E49" t="str">
            <v>四川太极大邑县晋原镇内蒙古大道桃源药店</v>
          </cell>
          <cell r="F49" t="str">
            <v>否</v>
          </cell>
          <cell r="G49">
            <v>282</v>
          </cell>
          <cell r="H49" t="str">
            <v>城郊一片</v>
          </cell>
          <cell r="I49" t="str">
            <v>任会茹</v>
          </cell>
          <cell r="J49">
            <v>319</v>
          </cell>
          <cell r="K49">
            <v>67.52</v>
          </cell>
          <cell r="L49">
            <v>21537.92</v>
          </cell>
          <cell r="M49">
            <v>6021.15</v>
          </cell>
        </row>
        <row r="50">
          <cell r="D50">
            <v>103639</v>
          </cell>
          <cell r="E50" t="str">
            <v>四川太极成华区金马河路药店</v>
          </cell>
          <cell r="F50" t="str">
            <v/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279</v>
          </cell>
          <cell r="K50">
            <v>75.16</v>
          </cell>
          <cell r="L50">
            <v>20969.7</v>
          </cell>
          <cell r="M50">
            <v>6908.4</v>
          </cell>
        </row>
        <row r="51">
          <cell r="D51">
            <v>747</v>
          </cell>
          <cell r="E51" t="str">
            <v>四川太极郫县郫筒镇一环路东南段药店</v>
          </cell>
          <cell r="F51" t="str">
            <v/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169</v>
          </cell>
          <cell r="K51">
            <v>121.6</v>
          </cell>
          <cell r="L51">
            <v>20550.47</v>
          </cell>
          <cell r="M51">
            <v>5078.1</v>
          </cell>
        </row>
        <row r="52">
          <cell r="D52">
            <v>513</v>
          </cell>
          <cell r="E52" t="str">
            <v>四川太极武侯区顺和街店</v>
          </cell>
          <cell r="F52" t="str">
            <v>否</v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227</v>
          </cell>
          <cell r="K52">
            <v>90.51</v>
          </cell>
          <cell r="L52">
            <v>20545.74</v>
          </cell>
          <cell r="M52">
            <v>5905.68</v>
          </cell>
        </row>
        <row r="53">
          <cell r="D53">
            <v>387</v>
          </cell>
          <cell r="E53" t="str">
            <v>四川太极新乐中街药店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298</v>
          </cell>
          <cell r="K53">
            <v>68.94</v>
          </cell>
          <cell r="L53">
            <v>20543.45</v>
          </cell>
          <cell r="M53">
            <v>5808.75</v>
          </cell>
        </row>
        <row r="54">
          <cell r="D54">
            <v>598</v>
          </cell>
          <cell r="E54" t="str">
            <v>四川太极锦江区水杉街药店</v>
          </cell>
          <cell r="F54" t="str">
            <v>否</v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279</v>
          </cell>
          <cell r="K54">
            <v>73.07</v>
          </cell>
          <cell r="L54">
            <v>20387.86</v>
          </cell>
          <cell r="M54">
            <v>6440.7</v>
          </cell>
        </row>
        <row r="55">
          <cell r="D55">
            <v>120844</v>
          </cell>
          <cell r="E55" t="str">
            <v>四川太极彭州市致和镇南三环路药店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197</v>
          </cell>
          <cell r="K55">
            <v>101.02</v>
          </cell>
          <cell r="L55">
            <v>19901.68</v>
          </cell>
          <cell r="M55">
            <v>4290.71</v>
          </cell>
        </row>
        <row r="56">
          <cell r="D56">
            <v>104428</v>
          </cell>
          <cell r="E56" t="str">
            <v>四川太极崇州市崇阳镇永康东路药店 </v>
          </cell>
          <cell r="F56" t="str">
            <v/>
          </cell>
          <cell r="G56">
            <v>341</v>
          </cell>
          <cell r="H56" t="str">
            <v>崇州片</v>
          </cell>
          <cell r="I56" t="str">
            <v>胡建梅</v>
          </cell>
          <cell r="J56">
            <v>272</v>
          </cell>
          <cell r="K56">
            <v>72.74</v>
          </cell>
          <cell r="L56">
            <v>19785.64</v>
          </cell>
          <cell r="M56">
            <v>6050.23</v>
          </cell>
        </row>
        <row r="57">
          <cell r="D57">
            <v>106865</v>
          </cell>
          <cell r="E57" t="str">
            <v>四川太极武侯区丝竹路药店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201</v>
          </cell>
          <cell r="K57">
            <v>98.03</v>
          </cell>
          <cell r="L57">
            <v>19704.44</v>
          </cell>
          <cell r="M57">
            <v>5774.97</v>
          </cell>
        </row>
        <row r="58">
          <cell r="D58">
            <v>594</v>
          </cell>
          <cell r="E58" t="str">
            <v>四川太极大邑县安仁镇千禧街药店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253</v>
          </cell>
          <cell r="K58">
            <v>77.4</v>
          </cell>
          <cell r="L58">
            <v>19582.39</v>
          </cell>
          <cell r="M58">
            <v>5339.13</v>
          </cell>
        </row>
        <row r="59">
          <cell r="D59">
            <v>721</v>
          </cell>
          <cell r="E59" t="str">
            <v>四川太极邛崃市临邛镇洪川小区药店</v>
          </cell>
          <cell r="F59" t="str">
            <v>否</v>
          </cell>
          <cell r="G59">
            <v>282</v>
          </cell>
          <cell r="H59" t="str">
            <v>城郊一片</v>
          </cell>
          <cell r="I59" t="str">
            <v>任会茹</v>
          </cell>
          <cell r="J59">
            <v>319</v>
          </cell>
          <cell r="K59">
            <v>60.5</v>
          </cell>
          <cell r="L59">
            <v>19298.04</v>
          </cell>
          <cell r="M59">
            <v>6440.72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198</v>
          </cell>
          <cell r="K60">
            <v>96.7</v>
          </cell>
          <cell r="L60">
            <v>19145.81</v>
          </cell>
          <cell r="M60">
            <v>5471.61</v>
          </cell>
        </row>
        <row r="61">
          <cell r="D61">
            <v>515</v>
          </cell>
          <cell r="E61" t="str">
            <v>四川太极成华区崔家店路药店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282</v>
          </cell>
          <cell r="K61">
            <v>67.11</v>
          </cell>
          <cell r="L61">
            <v>18924.14</v>
          </cell>
          <cell r="M61">
            <v>5143.1</v>
          </cell>
        </row>
        <row r="62">
          <cell r="D62">
            <v>107728</v>
          </cell>
          <cell r="E62" t="str">
            <v>四川太极大邑县晋原镇北街药店</v>
          </cell>
          <cell r="F62" t="str">
            <v/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167</v>
          </cell>
          <cell r="K62">
            <v>113.14</v>
          </cell>
          <cell r="L62">
            <v>18895.21</v>
          </cell>
          <cell r="M62">
            <v>4325.14</v>
          </cell>
        </row>
        <row r="63">
          <cell r="D63">
            <v>106485</v>
          </cell>
          <cell r="E63" t="str">
            <v>四川太极成都高新区元华二巷药店</v>
          </cell>
          <cell r="F63" t="str">
            <v/>
          </cell>
          <cell r="G63">
            <v>142</v>
          </cell>
          <cell r="H63" t="str">
            <v>旗舰片区</v>
          </cell>
          <cell r="I63" t="str">
            <v>谭勤娟</v>
          </cell>
          <cell r="J63">
            <v>163</v>
          </cell>
          <cell r="K63">
            <v>114.41</v>
          </cell>
          <cell r="L63">
            <v>18648.97</v>
          </cell>
          <cell r="M63">
            <v>4461.9</v>
          </cell>
        </row>
        <row r="64">
          <cell r="D64">
            <v>709</v>
          </cell>
          <cell r="E64" t="str">
            <v>四川太极新都区马超东路店</v>
          </cell>
          <cell r="F64" t="str">
            <v>否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269</v>
          </cell>
          <cell r="K64">
            <v>69.14</v>
          </cell>
          <cell r="L64">
            <v>18599.37</v>
          </cell>
          <cell r="M64">
            <v>4734.08</v>
          </cell>
        </row>
        <row r="65">
          <cell r="D65">
            <v>113833</v>
          </cell>
          <cell r="E65" t="str">
            <v>四川太极青羊区光华西一路药店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224</v>
          </cell>
          <cell r="K65">
            <v>80.02</v>
          </cell>
          <cell r="L65">
            <v>17925.52</v>
          </cell>
          <cell r="M65">
            <v>5458.17</v>
          </cell>
        </row>
        <row r="66">
          <cell r="D66">
            <v>367</v>
          </cell>
          <cell r="E66" t="str">
            <v>四川太极金带街药店</v>
          </cell>
          <cell r="F66" t="str">
            <v>否</v>
          </cell>
          <cell r="G66">
            <v>341</v>
          </cell>
          <cell r="H66" t="str">
            <v>崇州片</v>
          </cell>
          <cell r="I66" t="str">
            <v>胡建梅</v>
          </cell>
          <cell r="J66">
            <v>208</v>
          </cell>
          <cell r="K66">
            <v>85.68</v>
          </cell>
          <cell r="L66">
            <v>17822.39</v>
          </cell>
          <cell r="M66">
            <v>5180.13</v>
          </cell>
        </row>
        <row r="67">
          <cell r="D67">
            <v>117184</v>
          </cell>
          <cell r="E67" t="str">
            <v>四川太极锦江区静沙南路药店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220</v>
          </cell>
          <cell r="K67">
            <v>80.9</v>
          </cell>
          <cell r="L67">
            <v>17797.27</v>
          </cell>
          <cell r="M67">
            <v>6238.69</v>
          </cell>
        </row>
        <row r="68">
          <cell r="D68">
            <v>726</v>
          </cell>
          <cell r="E68" t="str">
            <v>四川太极金牛区交大路第三药店</v>
          </cell>
          <cell r="F68" t="str">
            <v>否</v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304</v>
          </cell>
          <cell r="K68">
            <v>57.96</v>
          </cell>
          <cell r="L68">
            <v>17618.34</v>
          </cell>
          <cell r="M68">
            <v>5082.19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244</v>
          </cell>
          <cell r="K69">
            <v>71.77</v>
          </cell>
          <cell r="L69">
            <v>17512.08</v>
          </cell>
          <cell r="M69">
            <v>5562.63</v>
          </cell>
        </row>
        <row r="70">
          <cell r="D70">
            <v>108277</v>
          </cell>
          <cell r="E70" t="str">
            <v>四川太极金牛区银沙路药店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274</v>
          </cell>
          <cell r="K70">
            <v>63.03</v>
          </cell>
          <cell r="L70">
            <v>17271.09</v>
          </cell>
          <cell r="M70">
            <v>4358.55</v>
          </cell>
        </row>
        <row r="71">
          <cell r="D71">
            <v>572</v>
          </cell>
          <cell r="E71" t="str">
            <v>四川太极郫县郫筒镇东大街药店</v>
          </cell>
          <cell r="F71" t="str">
            <v>否</v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192</v>
          </cell>
          <cell r="K71">
            <v>86.57</v>
          </cell>
          <cell r="L71">
            <v>16620.96</v>
          </cell>
          <cell r="M71">
            <v>4810.27</v>
          </cell>
        </row>
        <row r="72">
          <cell r="D72">
            <v>106569</v>
          </cell>
          <cell r="E72" t="str">
            <v>四川太极武侯区大悦路药店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183</v>
          </cell>
          <cell r="K72">
            <v>90.61</v>
          </cell>
          <cell r="L72">
            <v>16582.03</v>
          </cell>
          <cell r="M72">
            <v>4844.88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202</v>
          </cell>
          <cell r="K73">
            <v>81.48</v>
          </cell>
          <cell r="L73">
            <v>16459.92</v>
          </cell>
          <cell r="M73">
            <v>3718.61</v>
          </cell>
        </row>
        <row r="74">
          <cell r="D74">
            <v>743</v>
          </cell>
          <cell r="E74" t="str">
            <v>四川太极成华区万宇路药店</v>
          </cell>
          <cell r="F74" t="str">
            <v/>
          </cell>
          <cell r="G74">
            <v>232</v>
          </cell>
          <cell r="H74" t="str">
            <v>东南片区</v>
          </cell>
          <cell r="I74" t="str">
            <v>曾蕾蕾</v>
          </cell>
          <cell r="J74">
            <v>247</v>
          </cell>
          <cell r="K74">
            <v>66.03</v>
          </cell>
          <cell r="L74">
            <v>16308.68</v>
          </cell>
          <cell r="M74">
            <v>4973.47</v>
          </cell>
        </row>
        <row r="75">
          <cell r="D75">
            <v>587</v>
          </cell>
          <cell r="E75" t="str">
            <v>四川太极都江堰景中路店</v>
          </cell>
          <cell r="F75" t="str">
            <v>否</v>
          </cell>
          <cell r="G75">
            <v>233</v>
          </cell>
          <cell r="H75" t="str">
            <v>都江堰片</v>
          </cell>
          <cell r="I75" t="str">
            <v>苗凯</v>
          </cell>
          <cell r="J75">
            <v>222</v>
          </cell>
          <cell r="K75">
            <v>72.33</v>
          </cell>
          <cell r="L75">
            <v>16056.24</v>
          </cell>
          <cell r="M75">
            <v>4907.67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266</v>
          </cell>
          <cell r="K76">
            <v>60.12</v>
          </cell>
          <cell r="L76">
            <v>15992.48</v>
          </cell>
          <cell r="M76">
            <v>5314.33</v>
          </cell>
        </row>
        <row r="77">
          <cell r="D77">
            <v>570</v>
          </cell>
          <cell r="E77" t="str">
            <v>四川太极青羊区大石西路药店</v>
          </cell>
          <cell r="F77" t="str">
            <v>否</v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215</v>
          </cell>
          <cell r="K77">
            <v>73.34</v>
          </cell>
          <cell r="L77">
            <v>15767.89</v>
          </cell>
          <cell r="M77">
            <v>4789.76</v>
          </cell>
        </row>
        <row r="78">
          <cell r="D78">
            <v>113008</v>
          </cell>
          <cell r="E78" t="str">
            <v>四川太极成都高新区尚锦路药店</v>
          </cell>
          <cell r="F78" t="str">
            <v/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155</v>
          </cell>
          <cell r="K78">
            <v>101.28</v>
          </cell>
          <cell r="L78">
            <v>15698</v>
          </cell>
          <cell r="M78">
            <v>3291.92</v>
          </cell>
        </row>
        <row r="79">
          <cell r="D79">
            <v>111219</v>
          </cell>
          <cell r="E79" t="str">
            <v>四川太极金牛区花照壁药店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235</v>
          </cell>
          <cell r="K79">
            <v>65.99</v>
          </cell>
          <cell r="L79">
            <v>15508.6</v>
          </cell>
          <cell r="M79">
            <v>4566.5</v>
          </cell>
        </row>
        <row r="80">
          <cell r="D80">
            <v>105751</v>
          </cell>
          <cell r="E80" t="str">
            <v>四川太极高新区新下街药店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212</v>
          </cell>
          <cell r="K80">
            <v>72.32</v>
          </cell>
          <cell r="L80">
            <v>15332.59</v>
          </cell>
          <cell r="M80">
            <v>4439.06</v>
          </cell>
        </row>
        <row r="81">
          <cell r="D81">
            <v>116773</v>
          </cell>
          <cell r="E81" t="str">
            <v>四川太极青羊区经一路药店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183</v>
          </cell>
          <cell r="K81">
            <v>83.48</v>
          </cell>
          <cell r="L81">
            <v>15276.8</v>
          </cell>
          <cell r="M81">
            <v>4312.82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198</v>
          </cell>
          <cell r="K82">
            <v>76.12</v>
          </cell>
          <cell r="L82">
            <v>15072.16</v>
          </cell>
          <cell r="M82">
            <v>4545.92</v>
          </cell>
        </row>
        <row r="83">
          <cell r="D83">
            <v>122198</v>
          </cell>
          <cell r="E83" t="str">
            <v>四川太极成华区华泰路二药店</v>
          </cell>
          <cell r="F83" t="str">
            <v/>
          </cell>
          <cell r="G83">
            <v>232</v>
          </cell>
          <cell r="H83" t="str">
            <v>东南片区</v>
          </cell>
          <cell r="I83" t="str">
            <v>曾蕾蕾</v>
          </cell>
          <cell r="J83">
            <v>180</v>
          </cell>
          <cell r="K83">
            <v>83.44</v>
          </cell>
          <cell r="L83">
            <v>15019.51</v>
          </cell>
          <cell r="M83">
            <v>3217.27</v>
          </cell>
        </row>
        <row r="84">
          <cell r="D84">
            <v>119263</v>
          </cell>
          <cell r="E84" t="str">
            <v>四川太极青羊区蜀源路药店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214</v>
          </cell>
          <cell r="K84">
            <v>69.98</v>
          </cell>
          <cell r="L84">
            <v>14974.77</v>
          </cell>
          <cell r="M84">
            <v>3802.67</v>
          </cell>
        </row>
        <row r="85">
          <cell r="D85">
            <v>391</v>
          </cell>
          <cell r="E85" t="str">
            <v>四川太极金丝街药店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213</v>
          </cell>
          <cell r="K85">
            <v>67.47</v>
          </cell>
          <cell r="L85">
            <v>14372.08</v>
          </cell>
          <cell r="M85">
            <v>4917.47</v>
          </cell>
        </row>
        <row r="86">
          <cell r="D86">
            <v>105910</v>
          </cell>
          <cell r="E86" t="str">
            <v>四川太极高新区紫薇东路药店</v>
          </cell>
          <cell r="F86" t="str">
            <v/>
          </cell>
          <cell r="G86">
            <v>181</v>
          </cell>
          <cell r="H86" t="str">
            <v>西门一片</v>
          </cell>
          <cell r="I86" t="str">
            <v>刘琴英</v>
          </cell>
          <cell r="J86">
            <v>207</v>
          </cell>
          <cell r="K86">
            <v>69.02</v>
          </cell>
          <cell r="L86">
            <v>14287.74</v>
          </cell>
          <cell r="M86">
            <v>4752.97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148</v>
          </cell>
          <cell r="K87">
            <v>95.83</v>
          </cell>
          <cell r="L87">
            <v>14183.42</v>
          </cell>
          <cell r="M87">
            <v>3829.82</v>
          </cell>
        </row>
        <row r="88">
          <cell r="D88">
            <v>720</v>
          </cell>
          <cell r="E88" t="str">
            <v>四川太极大邑县新场镇文昌街药店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178</v>
          </cell>
          <cell r="K88">
            <v>79.15</v>
          </cell>
          <cell r="L88">
            <v>14088.44</v>
          </cell>
          <cell r="M88">
            <v>3385.42</v>
          </cell>
        </row>
        <row r="89">
          <cell r="D89">
            <v>115971</v>
          </cell>
          <cell r="E89" t="str">
            <v>四川太极高新区天顺路药店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177</v>
          </cell>
          <cell r="K89">
            <v>79.34</v>
          </cell>
          <cell r="L89">
            <v>14042.37</v>
          </cell>
          <cell r="M89">
            <v>3246.61</v>
          </cell>
        </row>
        <row r="90">
          <cell r="D90">
            <v>738</v>
          </cell>
          <cell r="E90" t="str">
            <v>四川太极都江堰市蒲阳路药店</v>
          </cell>
          <cell r="F90" t="str">
            <v>否</v>
          </cell>
          <cell r="G90">
            <v>233</v>
          </cell>
          <cell r="H90" t="str">
            <v>都江堰片</v>
          </cell>
          <cell r="I90" t="str">
            <v>苗凯</v>
          </cell>
          <cell r="J90">
            <v>134</v>
          </cell>
          <cell r="K90">
            <v>103.8</v>
          </cell>
          <cell r="L90">
            <v>13909.68</v>
          </cell>
          <cell r="M90">
            <v>3919.75</v>
          </cell>
        </row>
        <row r="91">
          <cell r="D91">
            <v>752</v>
          </cell>
          <cell r="E91" t="str">
            <v>四川太极大药房连锁有限公司武侯区聚萃街药店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229</v>
          </cell>
          <cell r="K91">
            <v>60.19</v>
          </cell>
          <cell r="L91">
            <v>13782.56</v>
          </cell>
          <cell r="M91">
            <v>3964.18</v>
          </cell>
        </row>
        <row r="92">
          <cell r="D92">
            <v>355</v>
          </cell>
          <cell r="E92" t="str">
            <v>四川太极双林路药店</v>
          </cell>
          <cell r="F92" t="str">
            <v>是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163</v>
          </cell>
          <cell r="K92">
            <v>84</v>
          </cell>
          <cell r="L92">
            <v>13691.25</v>
          </cell>
          <cell r="M92">
            <v>3737.71</v>
          </cell>
        </row>
        <row r="93">
          <cell r="D93">
            <v>549</v>
          </cell>
          <cell r="E93" t="str">
            <v>四川太极大邑县晋源镇东壕沟段药店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119</v>
          </cell>
          <cell r="K93">
            <v>113.7</v>
          </cell>
          <cell r="L93">
            <v>13529.88</v>
          </cell>
          <cell r="M93">
            <v>3853.93</v>
          </cell>
        </row>
        <row r="94">
          <cell r="D94">
            <v>118151</v>
          </cell>
          <cell r="E94" t="str">
            <v>四川太极金牛区沙湾东一路药店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195</v>
          </cell>
          <cell r="K94">
            <v>68.71</v>
          </cell>
          <cell r="L94">
            <v>13398.94</v>
          </cell>
          <cell r="M94">
            <v>3537.31</v>
          </cell>
        </row>
        <row r="95">
          <cell r="D95">
            <v>704</v>
          </cell>
          <cell r="E95" t="str">
            <v>四川太极都江堰奎光路中段药店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188</v>
          </cell>
          <cell r="K95">
            <v>70.02</v>
          </cell>
          <cell r="L95">
            <v>13163.1</v>
          </cell>
          <cell r="M95">
            <v>3433.49</v>
          </cell>
        </row>
        <row r="96">
          <cell r="D96">
            <v>117310</v>
          </cell>
          <cell r="E96" t="str">
            <v>四川太极武侯区长寿路药店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168</v>
          </cell>
          <cell r="K96">
            <v>78.16</v>
          </cell>
          <cell r="L96">
            <v>13131.27</v>
          </cell>
          <cell r="M96">
            <v>3445.57</v>
          </cell>
        </row>
        <row r="97">
          <cell r="D97">
            <v>713</v>
          </cell>
          <cell r="E97" t="str">
            <v>四川太极都江堰聚源镇药店</v>
          </cell>
          <cell r="F97" t="str">
            <v>否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138</v>
          </cell>
          <cell r="K97">
            <v>94.54</v>
          </cell>
          <cell r="L97">
            <v>13045.98</v>
          </cell>
          <cell r="M97">
            <v>4087.92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155</v>
          </cell>
          <cell r="K98">
            <v>83.89</v>
          </cell>
          <cell r="L98">
            <v>13002.51</v>
          </cell>
          <cell r="M98">
            <v>3817.52</v>
          </cell>
        </row>
        <row r="99">
          <cell r="D99">
            <v>727</v>
          </cell>
          <cell r="E99" t="str">
            <v>四川太极金牛区黄苑东街药店</v>
          </cell>
          <cell r="F99" t="str">
            <v>否</v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199</v>
          </cell>
          <cell r="K99">
            <v>64.53</v>
          </cell>
          <cell r="L99">
            <v>12841.71</v>
          </cell>
          <cell r="M99">
            <v>4359.07</v>
          </cell>
        </row>
        <row r="100">
          <cell r="D100">
            <v>112415</v>
          </cell>
          <cell r="E100" t="str">
            <v>四川太极金牛区五福桥东路药店</v>
          </cell>
          <cell r="F100" t="str">
            <v/>
          </cell>
          <cell r="G100">
            <v>181</v>
          </cell>
          <cell r="H100" t="str">
            <v>西门一片</v>
          </cell>
          <cell r="I100" t="str">
            <v>刘琴英</v>
          </cell>
          <cell r="J100">
            <v>205</v>
          </cell>
          <cell r="K100">
            <v>61.35</v>
          </cell>
          <cell r="L100">
            <v>12575.82</v>
          </cell>
          <cell r="M100">
            <v>2825.58</v>
          </cell>
        </row>
        <row r="101">
          <cell r="D101">
            <v>116919</v>
          </cell>
          <cell r="E101" t="str">
            <v>四川太极武侯区科华北路药店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149</v>
          </cell>
          <cell r="K101">
            <v>83.95</v>
          </cell>
          <cell r="L101">
            <v>12508.34</v>
          </cell>
          <cell r="M101">
            <v>3458.45</v>
          </cell>
        </row>
        <row r="102">
          <cell r="D102">
            <v>723</v>
          </cell>
          <cell r="E102" t="str">
            <v>四川太极锦江区柳翠路药店</v>
          </cell>
          <cell r="F102" t="str">
            <v>否</v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210</v>
          </cell>
          <cell r="K102">
            <v>58.48</v>
          </cell>
          <cell r="L102">
            <v>12280.49</v>
          </cell>
          <cell r="M102">
            <v>3221.5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163</v>
          </cell>
          <cell r="K103">
            <v>75.24</v>
          </cell>
          <cell r="L103">
            <v>12264.36</v>
          </cell>
          <cell r="M103">
            <v>3885.5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126</v>
          </cell>
          <cell r="K104">
            <v>96.8</v>
          </cell>
          <cell r="L104">
            <v>12196.52</v>
          </cell>
          <cell r="M104">
            <v>2712.36</v>
          </cell>
        </row>
        <row r="105">
          <cell r="D105">
            <v>116482</v>
          </cell>
          <cell r="E105" t="str">
            <v>四川太极锦江区宏济中路药店</v>
          </cell>
          <cell r="F105" t="str">
            <v/>
          </cell>
          <cell r="G105">
            <v>23</v>
          </cell>
          <cell r="H105" t="str">
            <v>城中片</v>
          </cell>
          <cell r="I105" t="str">
            <v>何巍 </v>
          </cell>
          <cell r="J105">
            <v>125</v>
          </cell>
          <cell r="K105">
            <v>96.93</v>
          </cell>
          <cell r="L105">
            <v>12116.08</v>
          </cell>
          <cell r="M105">
            <v>3221.07</v>
          </cell>
        </row>
        <row r="106">
          <cell r="D106">
            <v>706</v>
          </cell>
          <cell r="E106" t="str">
            <v>四川太极都江堰幸福镇翔凤路药店</v>
          </cell>
          <cell r="F106" t="str">
            <v>否</v>
          </cell>
          <cell r="G106">
            <v>233</v>
          </cell>
          <cell r="H106" t="str">
            <v>都江堰片</v>
          </cell>
          <cell r="I106" t="str">
            <v>苗凯</v>
          </cell>
          <cell r="J106">
            <v>177</v>
          </cell>
          <cell r="K106">
            <v>68.26</v>
          </cell>
          <cell r="L106">
            <v>12081.71</v>
          </cell>
          <cell r="M106">
            <v>3835.57</v>
          </cell>
        </row>
        <row r="107">
          <cell r="D107">
            <v>104429</v>
          </cell>
          <cell r="E107" t="str">
            <v>四川太极武侯区大华街药店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145</v>
          </cell>
          <cell r="K107">
            <v>82.84</v>
          </cell>
          <cell r="L107">
            <v>12011.81</v>
          </cell>
          <cell r="M107">
            <v>2629.38</v>
          </cell>
        </row>
        <row r="108">
          <cell r="D108">
            <v>732</v>
          </cell>
          <cell r="E108" t="str">
            <v>四川太极邛崃市羊安镇永康大道药店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151</v>
          </cell>
          <cell r="K108">
            <v>77.87</v>
          </cell>
          <cell r="L108">
            <v>11757.96</v>
          </cell>
          <cell r="M108">
            <v>3541.17</v>
          </cell>
        </row>
        <row r="109">
          <cell r="D109">
            <v>119262</v>
          </cell>
          <cell r="E109" t="str">
            <v>四川太极成华区驷马桥三路药店</v>
          </cell>
          <cell r="F109" t="str">
            <v/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142</v>
          </cell>
          <cell r="K109">
            <v>82.41</v>
          </cell>
          <cell r="L109">
            <v>11702.81</v>
          </cell>
          <cell r="M109">
            <v>3054.7</v>
          </cell>
        </row>
        <row r="110">
          <cell r="D110">
            <v>733</v>
          </cell>
          <cell r="E110" t="str">
            <v>四川太极双流区东升街道三强西路药店</v>
          </cell>
          <cell r="F110" t="str">
            <v>否</v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189</v>
          </cell>
          <cell r="K110">
            <v>60.37</v>
          </cell>
          <cell r="L110">
            <v>11410.72</v>
          </cell>
          <cell r="M110">
            <v>4420.11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200</v>
          </cell>
          <cell r="K111">
            <v>56.27</v>
          </cell>
          <cell r="L111">
            <v>11253.71</v>
          </cell>
          <cell r="M111">
            <v>3592.85</v>
          </cell>
        </row>
        <row r="112">
          <cell r="D112">
            <v>710</v>
          </cell>
          <cell r="E112" t="str">
            <v>四川太极都江堰市蒲阳镇堰问道西路药店</v>
          </cell>
          <cell r="F112" t="str">
            <v>否</v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175</v>
          </cell>
          <cell r="K112">
            <v>64.3</v>
          </cell>
          <cell r="L112">
            <v>11252.37</v>
          </cell>
          <cell r="M112">
            <v>3847.32</v>
          </cell>
        </row>
        <row r="113">
          <cell r="D113">
            <v>102565</v>
          </cell>
          <cell r="E113" t="str">
            <v>四川太极武侯区佳灵路药店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204</v>
          </cell>
          <cell r="K113">
            <v>54.14</v>
          </cell>
          <cell r="L113">
            <v>11044.76</v>
          </cell>
          <cell r="M113">
            <v>3318.79</v>
          </cell>
        </row>
        <row r="114">
          <cell r="D114">
            <v>102935</v>
          </cell>
          <cell r="E114" t="str">
            <v>四川太极青羊区童子街药店</v>
          </cell>
          <cell r="F114" t="str">
            <v/>
          </cell>
          <cell r="G114">
            <v>142</v>
          </cell>
          <cell r="H114" t="str">
            <v>旗舰片区</v>
          </cell>
          <cell r="I114" t="str">
            <v>谭勤娟</v>
          </cell>
          <cell r="J114">
            <v>163</v>
          </cell>
          <cell r="K114">
            <v>66.29</v>
          </cell>
          <cell r="L114">
            <v>10804.96</v>
          </cell>
          <cell r="M114">
            <v>3765.15</v>
          </cell>
        </row>
        <row r="115">
          <cell r="D115">
            <v>52</v>
          </cell>
          <cell r="E115" t="str">
            <v>四川太极崇州中心店</v>
          </cell>
          <cell r="F115" t="str">
            <v>是</v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142</v>
          </cell>
          <cell r="K115">
            <v>75.73</v>
          </cell>
          <cell r="L115">
            <v>10753.81</v>
          </cell>
          <cell r="M115">
            <v>3650.65</v>
          </cell>
        </row>
        <row r="116">
          <cell r="D116">
            <v>351</v>
          </cell>
          <cell r="E116" t="str">
            <v>四川太极都江堰药店</v>
          </cell>
          <cell r="F116" t="str">
            <v>是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194</v>
          </cell>
          <cell r="K116">
            <v>55.3</v>
          </cell>
          <cell r="L116">
            <v>10728.89</v>
          </cell>
          <cell r="M116">
            <v>3613.88</v>
          </cell>
        </row>
        <row r="117">
          <cell r="D117">
            <v>113298</v>
          </cell>
          <cell r="E117" t="str">
            <v>四川太极武侯区逸都路药店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145</v>
          </cell>
          <cell r="K117">
            <v>73.43</v>
          </cell>
          <cell r="L117">
            <v>10647.66</v>
          </cell>
          <cell r="M117">
            <v>2888.04</v>
          </cell>
        </row>
        <row r="118">
          <cell r="D118">
            <v>754</v>
          </cell>
          <cell r="E118" t="str">
            <v>四川太极崇州市崇阳镇尚贤坊街药店</v>
          </cell>
          <cell r="F118" t="str">
            <v/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134</v>
          </cell>
          <cell r="K118">
            <v>79.39</v>
          </cell>
          <cell r="L118">
            <v>10637.73</v>
          </cell>
          <cell r="M118">
            <v>2960.5</v>
          </cell>
        </row>
        <row r="119">
          <cell r="D119">
            <v>122906</v>
          </cell>
          <cell r="E119" t="str">
            <v>四川太极新都区斑竹园街道医贸大道药店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206</v>
          </cell>
          <cell r="K119">
            <v>49.96</v>
          </cell>
          <cell r="L119">
            <v>10291.03</v>
          </cell>
          <cell r="M119">
            <v>3233</v>
          </cell>
        </row>
        <row r="120">
          <cell r="D120">
            <v>308</v>
          </cell>
          <cell r="E120" t="str">
            <v>四川太极红星店</v>
          </cell>
          <cell r="F120" t="str">
            <v>是</v>
          </cell>
          <cell r="G120">
            <v>23</v>
          </cell>
          <cell r="H120" t="str">
            <v>城中片</v>
          </cell>
          <cell r="I120" t="str">
            <v>何巍 </v>
          </cell>
          <cell r="J120">
            <v>148</v>
          </cell>
          <cell r="K120">
            <v>69.48</v>
          </cell>
          <cell r="L120">
            <v>10282.69</v>
          </cell>
          <cell r="M120">
            <v>3565.86</v>
          </cell>
        </row>
        <row r="121">
          <cell r="D121">
            <v>102567</v>
          </cell>
          <cell r="E121" t="str">
            <v>四川太极新津县五津镇武阳西路药店</v>
          </cell>
          <cell r="F121" t="str">
            <v/>
          </cell>
          <cell r="G121">
            <v>281</v>
          </cell>
          <cell r="H121" t="str">
            <v>新津片</v>
          </cell>
          <cell r="I121" t="str">
            <v>王燕丽</v>
          </cell>
          <cell r="J121">
            <v>130</v>
          </cell>
          <cell r="K121">
            <v>78.81</v>
          </cell>
          <cell r="L121">
            <v>10244.68</v>
          </cell>
          <cell r="M121">
            <v>2808.4</v>
          </cell>
        </row>
        <row r="122">
          <cell r="D122">
            <v>371</v>
          </cell>
          <cell r="E122" t="str">
            <v>四川太极兴义镇万兴路药店</v>
          </cell>
          <cell r="F122" t="str">
            <v>否</v>
          </cell>
          <cell r="G122">
            <v>281</v>
          </cell>
          <cell r="H122" t="str">
            <v>新津片</v>
          </cell>
          <cell r="I122" t="str">
            <v>王燕丽</v>
          </cell>
          <cell r="J122">
            <v>165</v>
          </cell>
          <cell r="K122">
            <v>62.02</v>
          </cell>
          <cell r="L122">
            <v>10234.12</v>
          </cell>
          <cell r="M122">
            <v>3076.45</v>
          </cell>
        </row>
        <row r="123">
          <cell r="D123">
            <v>311</v>
          </cell>
          <cell r="E123" t="str">
            <v>四川太极西部店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61</v>
          </cell>
          <cell r="K123">
            <v>166.77</v>
          </cell>
          <cell r="L123">
            <v>10172.72</v>
          </cell>
          <cell r="M123">
            <v>2306.73</v>
          </cell>
        </row>
        <row r="124">
          <cell r="D124">
            <v>113025</v>
          </cell>
          <cell r="E124" t="str">
            <v>四川太极青羊区蜀鑫路药店</v>
          </cell>
          <cell r="F124" t="str">
            <v/>
          </cell>
          <cell r="G124">
            <v>342</v>
          </cell>
          <cell r="H124" t="str">
            <v>西门二片</v>
          </cell>
          <cell r="I124" t="str">
            <v>林禹帅</v>
          </cell>
          <cell r="J124">
            <v>150</v>
          </cell>
          <cell r="K124">
            <v>65.8</v>
          </cell>
          <cell r="L124">
            <v>9870.24</v>
          </cell>
          <cell r="M124">
            <v>3075.71</v>
          </cell>
        </row>
        <row r="125">
          <cell r="D125">
            <v>573</v>
          </cell>
          <cell r="E125" t="str">
            <v>四川太极双流县西航港街道锦华路一段药店</v>
          </cell>
          <cell r="F125" t="str">
            <v>否</v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175</v>
          </cell>
          <cell r="K125">
            <v>55.32</v>
          </cell>
          <cell r="L125">
            <v>9681.68</v>
          </cell>
          <cell r="M125">
            <v>2722.86</v>
          </cell>
        </row>
        <row r="126">
          <cell r="D126">
            <v>114069</v>
          </cell>
          <cell r="E126" t="str">
            <v>四川太极高新区剑南大道药店</v>
          </cell>
          <cell r="F126" t="str">
            <v/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154</v>
          </cell>
          <cell r="K126">
            <v>62.75</v>
          </cell>
          <cell r="L126">
            <v>9663.44</v>
          </cell>
          <cell r="M126">
            <v>3117.2</v>
          </cell>
        </row>
        <row r="127">
          <cell r="D127">
            <v>339</v>
          </cell>
          <cell r="E127" t="str">
            <v>四川太极沙河源药店</v>
          </cell>
          <cell r="F127" t="str">
            <v>是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131</v>
          </cell>
          <cell r="K127">
            <v>73</v>
          </cell>
          <cell r="L127">
            <v>9563.36</v>
          </cell>
          <cell r="M127">
            <v>2682.17</v>
          </cell>
        </row>
        <row r="128">
          <cell r="D128">
            <v>56</v>
          </cell>
          <cell r="E128" t="str">
            <v>四川太极三江店</v>
          </cell>
          <cell r="F128" t="str">
            <v>是</v>
          </cell>
          <cell r="G128">
            <v>341</v>
          </cell>
          <cell r="H128" t="str">
            <v>崇州片</v>
          </cell>
          <cell r="I128" t="str">
            <v>胡建梅</v>
          </cell>
          <cell r="J128">
            <v>132</v>
          </cell>
          <cell r="K128">
            <v>72.27</v>
          </cell>
          <cell r="L128">
            <v>9539.37</v>
          </cell>
          <cell r="M128">
            <v>2749.81</v>
          </cell>
        </row>
        <row r="129">
          <cell r="D129">
            <v>104533</v>
          </cell>
          <cell r="E129" t="str">
            <v>四川太极大邑县晋原镇潘家街药店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125</v>
          </cell>
          <cell r="K129">
            <v>75.86</v>
          </cell>
          <cell r="L129">
            <v>9482.19</v>
          </cell>
          <cell r="M129">
            <v>2926.56</v>
          </cell>
        </row>
        <row r="130">
          <cell r="D130">
            <v>112888</v>
          </cell>
          <cell r="E130" t="str">
            <v>四川太极武侯区双楠路药店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147</v>
          </cell>
          <cell r="K130">
            <v>63.18</v>
          </cell>
          <cell r="L130">
            <v>9287.78</v>
          </cell>
          <cell r="M130">
            <v>3325.04</v>
          </cell>
        </row>
        <row r="131">
          <cell r="D131">
            <v>106568</v>
          </cell>
          <cell r="E131" t="str">
            <v>四川太极高新区中和公济桥路药店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143</v>
          </cell>
          <cell r="K131">
            <v>63.53</v>
          </cell>
          <cell r="L131">
            <v>9084.28</v>
          </cell>
          <cell r="M131">
            <v>3570.31</v>
          </cell>
        </row>
        <row r="132">
          <cell r="D132">
            <v>104430</v>
          </cell>
          <cell r="E132" t="str">
            <v>四川太极高新区中和大道药店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168</v>
          </cell>
          <cell r="K132">
            <v>53.58</v>
          </cell>
          <cell r="L132">
            <v>9001.15</v>
          </cell>
          <cell r="M132">
            <v>2552.87</v>
          </cell>
        </row>
        <row r="133">
          <cell r="D133">
            <v>104838</v>
          </cell>
          <cell r="E133" t="str">
            <v>四川太极崇州市崇阳镇蜀州中路药店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164</v>
          </cell>
          <cell r="K133">
            <v>54.85</v>
          </cell>
          <cell r="L133">
            <v>8994.73</v>
          </cell>
          <cell r="M133">
            <v>2030.3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173</v>
          </cell>
          <cell r="K134">
            <v>51.26</v>
          </cell>
          <cell r="L134">
            <v>8868.61</v>
          </cell>
          <cell r="M134">
            <v>2709.5</v>
          </cell>
        </row>
        <row r="135">
          <cell r="D135">
            <v>123007</v>
          </cell>
          <cell r="E135" t="str">
            <v>四川太极大邑县青霞街道元通路南段药店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109</v>
          </cell>
          <cell r="K135">
            <v>77.35</v>
          </cell>
          <cell r="L135">
            <v>8431.62</v>
          </cell>
          <cell r="M135">
            <v>2293.13</v>
          </cell>
        </row>
        <row r="136">
          <cell r="D136">
            <v>117637</v>
          </cell>
          <cell r="E136" t="str">
            <v>四川太极大邑晋原街道金巷西街药店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105</v>
          </cell>
          <cell r="K136">
            <v>72.31</v>
          </cell>
          <cell r="L136">
            <v>7593.07</v>
          </cell>
          <cell r="M136">
            <v>2169.7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91</v>
          </cell>
          <cell r="K137">
            <v>83.31</v>
          </cell>
          <cell r="L137">
            <v>7581.34</v>
          </cell>
          <cell r="M137">
            <v>1846.2</v>
          </cell>
        </row>
        <row r="138">
          <cell r="D138">
            <v>117923</v>
          </cell>
          <cell r="E138" t="str">
            <v>四川太极大邑县观音阁街西段店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135</v>
          </cell>
          <cell r="K138">
            <v>52.7</v>
          </cell>
          <cell r="L138">
            <v>7114.16</v>
          </cell>
          <cell r="M138">
            <v>2285.43</v>
          </cell>
        </row>
        <row r="139">
          <cell r="D139">
            <v>122686</v>
          </cell>
          <cell r="E139" t="str">
            <v>四川太极大邑县晋原街道蜀望路药店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76</v>
          </cell>
          <cell r="K139">
            <v>89.11</v>
          </cell>
          <cell r="L139">
            <v>6772.63</v>
          </cell>
          <cell r="M139">
            <v>1847.49</v>
          </cell>
        </row>
        <row r="140">
          <cell r="D140">
            <v>128640</v>
          </cell>
          <cell r="E140" t="str">
            <v>四川太极郫都区红光街道红高东路药店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113</v>
          </cell>
          <cell r="K140">
            <v>59.21</v>
          </cell>
          <cell r="L140">
            <v>6690.57</v>
          </cell>
          <cell r="M140">
            <v>1289.44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54</v>
          </cell>
          <cell r="K141">
            <v>99.98</v>
          </cell>
          <cell r="L141">
            <v>5398.83</v>
          </cell>
          <cell r="M141">
            <v>1393.35</v>
          </cell>
        </row>
        <row r="142">
          <cell r="D142">
            <v>114848</v>
          </cell>
          <cell r="E142" t="str">
            <v>四川太极成都高新区泰和二街二药店 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63</v>
          </cell>
          <cell r="K142">
            <v>67.88</v>
          </cell>
          <cell r="L142">
            <v>4276.65</v>
          </cell>
          <cell r="M142">
            <v>1248.73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72</v>
          </cell>
          <cell r="K143">
            <v>51.33</v>
          </cell>
          <cell r="L143">
            <v>3695.63</v>
          </cell>
          <cell r="M143">
            <v>831.24</v>
          </cell>
        </row>
        <row r="144">
          <cell r="D144">
            <v>345</v>
          </cell>
          <cell r="E144" t="str">
            <v>四川太极B区西部店</v>
          </cell>
          <cell r="F144" t="str">
            <v>否</v>
          </cell>
          <cell r="G144">
            <v>261</v>
          </cell>
          <cell r="H144" t="str">
            <v>团购片</v>
          </cell>
          <cell r="I144" t="str">
            <v>王灵</v>
          </cell>
          <cell r="J144">
            <v>1</v>
          </cell>
          <cell r="K144">
            <v>3480</v>
          </cell>
          <cell r="L144">
            <v>3480</v>
          </cell>
          <cell r="M144">
            <v>883.2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71</v>
          </cell>
          <cell r="K145">
            <v>48.22</v>
          </cell>
          <cell r="L145">
            <v>3423.54</v>
          </cell>
          <cell r="M145">
            <v>1019.56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33282</v>
          </cell>
          <cell r="K146">
            <v>118.53</v>
          </cell>
          <cell r="L146">
            <v>3944927.05</v>
          </cell>
          <cell r="M146">
            <v>763167.64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实习生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10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5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3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4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6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3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3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4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1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3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3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2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2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1">
        <row r="1">
          <cell r="A1" t="str">
            <v>门店ID</v>
          </cell>
          <cell r="B1" t="str">
            <v>部门</v>
          </cell>
          <cell r="C1" t="str">
            <v>求和项:实习生</v>
          </cell>
        </row>
        <row r="2">
          <cell r="A2">
            <v>307</v>
          </cell>
          <cell r="B2" t="str">
            <v>旗舰店</v>
          </cell>
          <cell r="C2">
            <v>5</v>
          </cell>
        </row>
        <row r="3">
          <cell r="A3">
            <v>337</v>
          </cell>
          <cell r="B3" t="str">
            <v>浆洗街店</v>
          </cell>
          <cell r="C3">
            <v>1</v>
          </cell>
        </row>
        <row r="4">
          <cell r="A4">
            <v>343</v>
          </cell>
          <cell r="B4" t="str">
            <v>光华店</v>
          </cell>
          <cell r="C4">
            <v>1</v>
          </cell>
        </row>
        <row r="5">
          <cell r="A5">
            <v>357</v>
          </cell>
          <cell r="B5" t="str">
            <v>清江东路店</v>
          </cell>
          <cell r="C5">
            <v>1</v>
          </cell>
        </row>
        <row r="6">
          <cell r="A6">
            <v>359</v>
          </cell>
          <cell r="B6" t="str">
            <v>枣子巷店</v>
          </cell>
          <cell r="C6">
            <v>1</v>
          </cell>
        </row>
        <row r="7">
          <cell r="A7">
            <v>365</v>
          </cell>
          <cell r="B7" t="str">
            <v>光华村街店</v>
          </cell>
          <cell r="C7">
            <v>2</v>
          </cell>
        </row>
        <row r="8">
          <cell r="A8">
            <v>377</v>
          </cell>
          <cell r="B8" t="str">
            <v>新园大道店</v>
          </cell>
          <cell r="C8">
            <v>1</v>
          </cell>
        </row>
        <row r="9">
          <cell r="A9">
            <v>387</v>
          </cell>
          <cell r="B9" t="str">
            <v>新乐中街店</v>
          </cell>
          <cell r="C9">
            <v>1</v>
          </cell>
        </row>
        <row r="10">
          <cell r="A10">
            <v>391</v>
          </cell>
          <cell r="B10" t="str">
            <v>金丝街店</v>
          </cell>
          <cell r="C10">
            <v>1</v>
          </cell>
        </row>
        <row r="11">
          <cell r="A11">
            <v>399</v>
          </cell>
          <cell r="B11" t="str">
            <v>天久北巷店</v>
          </cell>
          <cell r="C11">
            <v>1</v>
          </cell>
        </row>
        <row r="12">
          <cell r="A12">
            <v>511</v>
          </cell>
          <cell r="B12" t="str">
            <v>杉板桥店</v>
          </cell>
          <cell r="C12">
            <v>1</v>
          </cell>
        </row>
        <row r="13">
          <cell r="A13">
            <v>513</v>
          </cell>
          <cell r="B13" t="str">
            <v>顺和街店</v>
          </cell>
          <cell r="C13">
            <v>1</v>
          </cell>
        </row>
        <row r="14">
          <cell r="A14">
            <v>515</v>
          </cell>
          <cell r="B14" t="str">
            <v>崔家店</v>
          </cell>
          <cell r="C14">
            <v>1</v>
          </cell>
        </row>
        <row r="15">
          <cell r="A15">
            <v>517</v>
          </cell>
          <cell r="B15" t="str">
            <v>青羊区北东街店</v>
          </cell>
          <cell r="C15">
            <v>2</v>
          </cell>
        </row>
        <row r="16">
          <cell r="A16">
            <v>571</v>
          </cell>
          <cell r="B16" t="str">
            <v>高新区民丰大道店</v>
          </cell>
          <cell r="C16">
            <v>2</v>
          </cell>
        </row>
        <row r="17">
          <cell r="A17">
            <v>578</v>
          </cell>
          <cell r="B17" t="str">
            <v>华油路店</v>
          </cell>
          <cell r="C17">
            <v>1</v>
          </cell>
        </row>
        <row r="18">
          <cell r="A18">
            <v>581</v>
          </cell>
          <cell r="B18" t="str">
            <v>高车一路店</v>
          </cell>
          <cell r="C18">
            <v>1</v>
          </cell>
        </row>
        <row r="19">
          <cell r="A19">
            <v>582</v>
          </cell>
          <cell r="B19" t="str">
            <v>青羊区十二桥店</v>
          </cell>
          <cell r="C19">
            <v>2</v>
          </cell>
        </row>
        <row r="20">
          <cell r="A20">
            <v>585</v>
          </cell>
          <cell r="B20" t="str">
            <v>羊子山西路店</v>
          </cell>
          <cell r="C20">
            <v>1</v>
          </cell>
        </row>
        <row r="21">
          <cell r="A21">
            <v>707</v>
          </cell>
          <cell r="B21" t="str">
            <v>成华区万科路</v>
          </cell>
          <cell r="C21">
            <v>2</v>
          </cell>
        </row>
        <row r="22">
          <cell r="A22">
            <v>709</v>
          </cell>
          <cell r="B22" t="str">
            <v>新都马超东路</v>
          </cell>
          <cell r="C22">
            <v>1</v>
          </cell>
        </row>
        <row r="23">
          <cell r="A23">
            <v>726</v>
          </cell>
          <cell r="B23" t="str">
            <v>交大三店</v>
          </cell>
          <cell r="C23">
            <v>1</v>
          </cell>
        </row>
        <row r="24">
          <cell r="A24">
            <v>737</v>
          </cell>
          <cell r="B24" t="str">
            <v>高新区大源北街</v>
          </cell>
          <cell r="C24">
            <v>2</v>
          </cell>
        </row>
        <row r="25">
          <cell r="A25">
            <v>744</v>
          </cell>
          <cell r="B25" t="str">
            <v>科华路店</v>
          </cell>
          <cell r="C25">
            <v>1</v>
          </cell>
        </row>
        <row r="26">
          <cell r="A26">
            <v>745</v>
          </cell>
          <cell r="B26" t="str">
            <v>金沙路店</v>
          </cell>
          <cell r="C26">
            <v>1</v>
          </cell>
        </row>
        <row r="27">
          <cell r="A27">
            <v>747</v>
          </cell>
          <cell r="B27" t="str">
            <v>郫县一环路东南段店</v>
          </cell>
          <cell r="C27">
            <v>1</v>
          </cell>
        </row>
        <row r="28">
          <cell r="A28">
            <v>750</v>
          </cell>
          <cell r="B28" t="str">
            <v>成汉南路店</v>
          </cell>
          <cell r="C28">
            <v>1</v>
          </cell>
        </row>
        <row r="29">
          <cell r="A29">
            <v>102565</v>
          </cell>
          <cell r="B29" t="str">
            <v>佳灵路店</v>
          </cell>
          <cell r="C29">
            <v>1</v>
          </cell>
        </row>
        <row r="30">
          <cell r="A30">
            <v>102934</v>
          </cell>
          <cell r="B30" t="str">
            <v>银河北街店</v>
          </cell>
          <cell r="C30">
            <v>2</v>
          </cell>
        </row>
        <row r="31">
          <cell r="A31">
            <v>103198</v>
          </cell>
          <cell r="B31" t="str">
            <v>贝森北路店</v>
          </cell>
          <cell r="C31">
            <v>1</v>
          </cell>
        </row>
        <row r="32">
          <cell r="A32">
            <v>103199</v>
          </cell>
          <cell r="B32" t="str">
            <v>西林一街店</v>
          </cell>
          <cell r="C32">
            <v>2</v>
          </cell>
        </row>
        <row r="33">
          <cell r="A33">
            <v>103639</v>
          </cell>
          <cell r="B33" t="str">
            <v>金马河路店</v>
          </cell>
          <cell r="C33">
            <v>1</v>
          </cell>
        </row>
        <row r="34">
          <cell r="A34">
            <v>105267</v>
          </cell>
          <cell r="B34" t="str">
            <v>蜀汉东路店</v>
          </cell>
          <cell r="C34">
            <v>1</v>
          </cell>
        </row>
        <row r="35">
          <cell r="A35">
            <v>105751</v>
          </cell>
          <cell r="B35" t="str">
            <v>中和新下街店</v>
          </cell>
          <cell r="C35">
            <v>1</v>
          </cell>
        </row>
        <row r="36">
          <cell r="A36">
            <v>106399</v>
          </cell>
          <cell r="B36" t="str">
            <v>蜀辉路店</v>
          </cell>
          <cell r="C36">
            <v>1</v>
          </cell>
        </row>
        <row r="37">
          <cell r="A37">
            <v>106568</v>
          </cell>
          <cell r="B37" t="str">
            <v>中和公济桥店</v>
          </cell>
          <cell r="C37">
            <v>1</v>
          </cell>
        </row>
        <row r="38">
          <cell r="A38">
            <v>107658</v>
          </cell>
          <cell r="B38" t="str">
            <v>新都万和北路店</v>
          </cell>
          <cell r="C38">
            <v>1</v>
          </cell>
        </row>
        <row r="39">
          <cell r="A39">
            <v>108277</v>
          </cell>
          <cell r="B39" t="str">
            <v>银沙路店</v>
          </cell>
          <cell r="C39">
            <v>1</v>
          </cell>
        </row>
        <row r="40">
          <cell r="A40">
            <v>111219</v>
          </cell>
          <cell r="B40" t="str">
            <v>花照壁店</v>
          </cell>
          <cell r="C40">
            <v>1</v>
          </cell>
        </row>
        <row r="41">
          <cell r="A41">
            <v>112888</v>
          </cell>
          <cell r="B41" t="str">
            <v>双楠店</v>
          </cell>
          <cell r="C41">
            <v>1</v>
          </cell>
        </row>
        <row r="42">
          <cell r="A42">
            <v>113298</v>
          </cell>
          <cell r="B42" t="str">
            <v>逸都路店</v>
          </cell>
          <cell r="C42">
            <v>1</v>
          </cell>
        </row>
        <row r="43">
          <cell r="A43">
            <v>114286</v>
          </cell>
          <cell r="B43" t="str">
            <v>光华北五路店</v>
          </cell>
          <cell r="C43">
            <v>1</v>
          </cell>
        </row>
        <row r="44">
          <cell r="A44">
            <v>114622</v>
          </cell>
          <cell r="B44" t="str">
            <v>东昌一路店</v>
          </cell>
          <cell r="C44">
            <v>1</v>
          </cell>
        </row>
        <row r="45">
          <cell r="A45">
            <v>114685</v>
          </cell>
          <cell r="B45" t="str">
            <v>青龙街店</v>
          </cell>
          <cell r="C45">
            <v>1</v>
          </cell>
        </row>
        <row r="46">
          <cell r="A46">
            <v>115971</v>
          </cell>
          <cell r="B46" t="str">
            <v>天顺路店</v>
          </cell>
          <cell r="C46">
            <v>1</v>
          </cell>
        </row>
        <row r="47">
          <cell r="A47">
            <v>118074</v>
          </cell>
          <cell r="B47" t="str">
            <v>泰和二街店</v>
          </cell>
          <cell r="C47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abSelected="1" topLeftCell="W1" workbookViewId="0">
      <selection activeCell="O12" sqref="O12"/>
    </sheetView>
  </sheetViews>
  <sheetFormatPr defaultColWidth="9" defaultRowHeight="13.5"/>
  <cols>
    <col min="1" max="1" width="4.25" style="25" customWidth="1"/>
    <col min="2" max="2" width="8" style="26" customWidth="1"/>
    <col min="3" max="3" width="17.625" style="27" customWidth="1"/>
    <col min="4" max="4" width="8.725" style="26"/>
    <col min="5" max="5" width="8.625" style="25" hidden="1" customWidth="1"/>
    <col min="6" max="6" width="7.625" style="28" hidden="1" customWidth="1"/>
    <col min="7" max="7" width="9.25" style="25" hidden="1" customWidth="1"/>
    <col min="8" max="8" width="5.125" style="29" customWidth="1"/>
    <col min="9" max="9" width="5.75" style="25" customWidth="1"/>
    <col min="10" max="10" width="10.875" style="30" customWidth="1"/>
    <col min="11" max="11" width="11.125" style="30" customWidth="1"/>
    <col min="12" max="12" width="8.875" style="31" hidden="1" customWidth="1"/>
    <col min="13" max="13" width="8" style="32" hidden="1" customWidth="1"/>
    <col min="14" max="14" width="9.125" style="33" hidden="1" customWidth="1"/>
    <col min="15" max="15" width="11.5" style="33" customWidth="1"/>
    <col min="16" max="16" width="10.375" style="33" customWidth="1"/>
    <col min="17" max="17" width="7.875" style="34" customWidth="1"/>
    <col min="18" max="18" width="8.25" style="34" customWidth="1"/>
    <col min="19" max="19" width="8" style="35" hidden="1" customWidth="1"/>
    <col min="20" max="20" width="15.875" style="36" customWidth="1"/>
    <col min="21" max="21" width="12.875" style="35" customWidth="1"/>
    <col min="22" max="22" width="7.625" style="35" customWidth="1"/>
    <col min="23" max="23" width="9.25" style="32" customWidth="1"/>
    <col min="24" max="24" width="15.625" style="37" hidden="1" customWidth="1"/>
    <col min="25" max="25" width="10.375" style="38" customWidth="1"/>
    <col min="26" max="26" width="10.625" style="38" customWidth="1"/>
    <col min="27" max="27" width="8.25" style="38" customWidth="1"/>
    <col min="28" max="28" width="8" style="38" customWidth="1"/>
    <col min="29" max="29" width="15.625" style="39" customWidth="1"/>
    <col min="30" max="30" width="13" style="39" customWidth="1"/>
    <col min="31" max="31" width="11.25" style="40" customWidth="1"/>
    <col min="32" max="32" width="11.5" style="40" customWidth="1"/>
    <col min="33" max="33" width="8.375" style="41" hidden="1" customWidth="1"/>
    <col min="34" max="34" width="7.75" style="28" hidden="1" customWidth="1"/>
    <col min="35" max="35" width="9.625" style="42" hidden="1" customWidth="1"/>
    <col min="36" max="36" width="10.75" style="42" customWidth="1"/>
    <col min="37" max="37" width="10.375" style="42" customWidth="1"/>
    <col min="38" max="38" width="11.875" style="42" customWidth="1"/>
    <col min="39" max="39" width="13.375" style="42" customWidth="1"/>
    <col min="40" max="40" width="10.375" style="43" hidden="1" customWidth="1"/>
    <col min="41" max="41" width="14.25" style="44" customWidth="1"/>
    <col min="42" max="42" width="7.375" style="28" customWidth="1"/>
    <col min="43" max="43" width="9.125" style="42" hidden="1" customWidth="1"/>
    <col min="44" max="44" width="10.5" style="43" customWidth="1"/>
    <col min="45" max="45" width="11.875" style="43" customWidth="1"/>
    <col min="46" max="47" width="10.625" style="29" customWidth="1"/>
    <col min="48" max="48" width="9.875" style="45" customWidth="1"/>
    <col min="49" max="16384" width="9" style="16"/>
  </cols>
  <sheetData>
    <row r="1" spans="1:47">
      <c r="A1" s="46"/>
      <c r="B1" s="47"/>
      <c r="C1" s="48"/>
      <c r="D1" s="47"/>
      <c r="E1" s="47"/>
      <c r="F1" s="47"/>
      <c r="G1" s="47"/>
      <c r="H1" s="49"/>
      <c r="I1" s="60"/>
      <c r="J1" s="61" t="s">
        <v>0</v>
      </c>
      <c r="K1" s="62"/>
      <c r="L1" s="62"/>
      <c r="M1" s="62"/>
      <c r="N1" s="62"/>
      <c r="O1" s="62"/>
      <c r="P1" s="62"/>
      <c r="Q1" s="72"/>
      <c r="R1" s="72"/>
      <c r="S1" s="62"/>
      <c r="T1" s="62"/>
      <c r="U1" s="62"/>
      <c r="V1" s="62"/>
      <c r="W1" s="73"/>
      <c r="X1" s="74"/>
      <c r="Y1" s="86" t="s">
        <v>1</v>
      </c>
      <c r="Z1" s="87"/>
      <c r="AA1" s="87"/>
      <c r="AB1" s="87"/>
      <c r="AC1" s="88"/>
      <c r="AD1" s="89"/>
      <c r="AE1" s="90" t="s">
        <v>2</v>
      </c>
      <c r="AF1" s="90"/>
      <c r="AG1" s="90"/>
      <c r="AH1" s="90"/>
      <c r="AI1" s="90"/>
      <c r="AJ1" s="90"/>
      <c r="AK1" s="90"/>
      <c r="AL1" s="90"/>
      <c r="AM1" s="90"/>
      <c r="AN1" s="90"/>
      <c r="AO1" s="104"/>
      <c r="AP1" s="90"/>
      <c r="AQ1" s="90"/>
      <c r="AR1" s="40"/>
      <c r="AS1" s="40"/>
      <c r="AT1" s="105"/>
      <c r="AU1" s="105"/>
    </row>
    <row r="2" spans="1:47">
      <c r="A2" s="50"/>
      <c r="B2" s="51"/>
      <c r="C2" s="52"/>
      <c r="D2" s="51"/>
      <c r="E2" s="51"/>
      <c r="F2" s="51"/>
      <c r="G2" s="51"/>
      <c r="H2" s="53"/>
      <c r="I2" s="63"/>
      <c r="J2" s="64"/>
      <c r="K2" s="65"/>
      <c r="L2" s="65"/>
      <c r="M2" s="65"/>
      <c r="N2" s="65"/>
      <c r="O2" s="65"/>
      <c r="P2" s="65"/>
      <c r="Q2" s="75"/>
      <c r="R2" s="75"/>
      <c r="S2" s="65"/>
      <c r="T2" s="65"/>
      <c r="U2" s="65"/>
      <c r="V2" s="65"/>
      <c r="W2" s="76"/>
      <c r="X2" s="74"/>
      <c r="Y2" s="91"/>
      <c r="Z2" s="92"/>
      <c r="AA2" s="92"/>
      <c r="AB2" s="92"/>
      <c r="AC2" s="93"/>
      <c r="AD2" s="94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104"/>
      <c r="AP2" s="90"/>
      <c r="AQ2" s="90"/>
      <c r="AR2" s="40"/>
      <c r="AS2" s="40"/>
      <c r="AT2" s="105"/>
      <c r="AU2" s="105"/>
    </row>
    <row r="3" s="23" customFormat="1" ht="54" customHeight="1" spans="1:48">
      <c r="A3" s="54" t="s">
        <v>3</v>
      </c>
      <c r="B3" s="55" t="s">
        <v>4</v>
      </c>
      <c r="C3" s="56" t="s">
        <v>5</v>
      </c>
      <c r="D3" s="55" t="s">
        <v>6</v>
      </c>
      <c r="E3" s="54" t="s">
        <v>7</v>
      </c>
      <c r="F3" s="57" t="s">
        <v>8</v>
      </c>
      <c r="G3" s="54" t="s">
        <v>9</v>
      </c>
      <c r="H3" s="58" t="s">
        <v>10</v>
      </c>
      <c r="I3" s="54" t="s">
        <v>11</v>
      </c>
      <c r="J3" s="66" t="s">
        <v>12</v>
      </c>
      <c r="K3" s="66" t="s">
        <v>13</v>
      </c>
      <c r="L3" s="67" t="s">
        <v>14</v>
      </c>
      <c r="M3" s="68" t="s">
        <v>8</v>
      </c>
      <c r="N3" s="69" t="s">
        <v>9</v>
      </c>
      <c r="O3" s="70" t="s">
        <v>15</v>
      </c>
      <c r="P3" s="70" t="s">
        <v>16</v>
      </c>
      <c r="Q3" s="77" t="s">
        <v>17</v>
      </c>
      <c r="R3" s="77" t="s">
        <v>18</v>
      </c>
      <c r="S3" s="78" t="s">
        <v>14</v>
      </c>
      <c r="T3" s="79" t="s">
        <v>19</v>
      </c>
      <c r="U3" s="80" t="s">
        <v>20</v>
      </c>
      <c r="V3" s="80" t="s">
        <v>21</v>
      </c>
      <c r="W3" s="68" t="s">
        <v>8</v>
      </c>
      <c r="X3" s="69" t="s">
        <v>9</v>
      </c>
      <c r="Y3" s="95" t="s">
        <v>22</v>
      </c>
      <c r="Z3" s="95" t="s">
        <v>23</v>
      </c>
      <c r="AA3" s="77" t="s">
        <v>24</v>
      </c>
      <c r="AB3" s="77" t="s">
        <v>25</v>
      </c>
      <c r="AC3" s="95" t="s">
        <v>26</v>
      </c>
      <c r="AD3" s="95" t="s">
        <v>27</v>
      </c>
      <c r="AE3" s="96" t="s">
        <v>28</v>
      </c>
      <c r="AF3" s="96" t="s">
        <v>29</v>
      </c>
      <c r="AG3" s="99" t="s">
        <v>14</v>
      </c>
      <c r="AH3" s="57" t="s">
        <v>8</v>
      </c>
      <c r="AI3" s="100" t="s">
        <v>9</v>
      </c>
      <c r="AJ3" s="101" t="s">
        <v>15</v>
      </c>
      <c r="AK3" s="101" t="s">
        <v>16</v>
      </c>
      <c r="AL3" s="102" t="s">
        <v>17</v>
      </c>
      <c r="AM3" s="102" t="s">
        <v>18</v>
      </c>
      <c r="AN3" s="100" t="s">
        <v>14</v>
      </c>
      <c r="AO3" s="106" t="s">
        <v>30</v>
      </c>
      <c r="AP3" s="57" t="s">
        <v>8</v>
      </c>
      <c r="AQ3" s="100" t="s">
        <v>9</v>
      </c>
      <c r="AR3" s="101" t="s">
        <v>22</v>
      </c>
      <c r="AS3" s="101" t="s">
        <v>31</v>
      </c>
      <c r="AT3" s="77" t="s">
        <v>24</v>
      </c>
      <c r="AU3" s="77" t="s">
        <v>25</v>
      </c>
      <c r="AV3" s="45" t="s">
        <v>32</v>
      </c>
    </row>
    <row r="4" s="23" customFormat="1" spans="1:48">
      <c r="A4" s="25">
        <v>5</v>
      </c>
      <c r="B4" s="26">
        <v>750</v>
      </c>
      <c r="C4" s="59" t="s">
        <v>33</v>
      </c>
      <c r="D4" s="26" t="s">
        <v>34</v>
      </c>
      <c r="E4" s="25">
        <v>26000</v>
      </c>
      <c r="F4" s="28">
        <v>0.3231</v>
      </c>
      <c r="G4" s="25">
        <f t="shared" ref="G4:G67" si="0">E4*F4</f>
        <v>8400.6</v>
      </c>
      <c r="H4" s="29">
        <f>VLOOKUP(B4,[3]Sheet2!$A:$C,3,0)</f>
        <v>4</v>
      </c>
      <c r="I4" s="25">
        <f>VLOOKUP(B4,[3]实习生!$A:$C,3,0)</f>
        <v>1</v>
      </c>
      <c r="J4" s="30">
        <v>105428.34</v>
      </c>
      <c r="K4" s="30">
        <v>30548.77</v>
      </c>
      <c r="L4" s="31">
        <f>E4*1.3</f>
        <v>33800</v>
      </c>
      <c r="M4" s="32">
        <v>0.3020985</v>
      </c>
      <c r="N4" s="37">
        <f t="shared" ref="N4:N67" si="1">L4*M4</f>
        <v>10210.9293</v>
      </c>
      <c r="O4" s="37">
        <f t="shared" ref="O4:O67" si="2">L4*4</f>
        <v>135200</v>
      </c>
      <c r="P4" s="37">
        <f t="shared" ref="P4:P67" si="3">N4*4</f>
        <v>40843.7172</v>
      </c>
      <c r="Q4" s="81">
        <f t="shared" ref="Q4:Q67" si="4">J4/O4</f>
        <v>0.779795414201183</v>
      </c>
      <c r="R4" s="81">
        <f t="shared" ref="R4:R67" si="5">K4/P4</f>
        <v>0.747942941882871</v>
      </c>
      <c r="S4" s="82">
        <f t="shared" ref="S4:S67" si="6">L4*1.15</f>
        <v>38870</v>
      </c>
      <c r="T4" s="83"/>
      <c r="U4" s="84">
        <f>(J4-O4)*0.01</f>
        <v>-297.7166</v>
      </c>
      <c r="V4" s="84">
        <f>U4/2</f>
        <v>-148.8583</v>
      </c>
      <c r="W4" s="32">
        <f t="shared" ref="W4:W67" si="7">M4*0.94</f>
        <v>0.28397259</v>
      </c>
      <c r="X4" s="37">
        <f t="shared" ref="X4:X67" si="8">S4*W4</f>
        <v>11038.0145733</v>
      </c>
      <c r="Y4" s="38">
        <f t="shared" ref="Y4:Y67" si="9">S4*4</f>
        <v>155480</v>
      </c>
      <c r="Z4" s="38">
        <f t="shared" ref="Z4:Z67" si="10">X4*4</f>
        <v>44152.0582932</v>
      </c>
      <c r="AA4" s="81">
        <f t="shared" ref="AA4:AA67" si="11">J4/Y4</f>
        <v>0.678082968870594</v>
      </c>
      <c r="AB4" s="81">
        <f t="shared" ref="AB4:AB67" si="12">K4/Z4</f>
        <v>0.691899113675181</v>
      </c>
      <c r="AC4" s="97"/>
      <c r="AD4" s="39"/>
      <c r="AE4" s="98">
        <v>66891.05</v>
      </c>
      <c r="AF4" s="98">
        <v>18985.13</v>
      </c>
      <c r="AG4" s="41">
        <f t="shared" ref="AG4:AG67" si="13">L4*0.89</f>
        <v>30082</v>
      </c>
      <c r="AH4" s="28">
        <v>0.3066299775</v>
      </c>
      <c r="AI4" s="43">
        <f t="shared" ref="AI4:AI67" si="14">AG4*AH4</f>
        <v>9224.042983155</v>
      </c>
      <c r="AJ4" s="43">
        <f t="shared" ref="AJ4:AJ67" si="15">AG4*3</f>
        <v>90246</v>
      </c>
      <c r="AK4" s="43">
        <f t="shared" ref="AK4:AK67" si="16">AI4*3</f>
        <v>27672.128949465</v>
      </c>
      <c r="AL4" s="28">
        <f t="shared" ref="AL4:AL67" si="17">AE4/AJ4</f>
        <v>0.741207920572657</v>
      </c>
      <c r="AM4" s="28">
        <f t="shared" ref="AM4:AM67" si="18">AF4/AK4</f>
        <v>0.686074065160319</v>
      </c>
      <c r="AN4" s="43">
        <f t="shared" ref="AN4:AN67" si="19">AG4*1.16</f>
        <v>34895.12</v>
      </c>
      <c r="AO4" s="44"/>
      <c r="AP4" s="28">
        <f t="shared" ref="AP4:AP67" si="20">AH4*0.96</f>
        <v>0.2943647784</v>
      </c>
      <c r="AQ4" s="43">
        <f t="shared" ref="AQ4:AQ67" si="21">AN4*AP4</f>
        <v>10271.8942660414</v>
      </c>
      <c r="AR4" s="43">
        <f t="shared" ref="AR4:AR67" si="22">AN4*3</f>
        <v>104685.36</v>
      </c>
      <c r="AS4" s="43">
        <f t="shared" ref="AS4:AS67" si="23">AQ4*3</f>
        <v>30815.6827981242</v>
      </c>
      <c r="AT4" s="107">
        <f t="shared" ref="AT4:AT67" si="24">AE4/AR4</f>
        <v>0.638972345321256</v>
      </c>
      <c r="AU4" s="107">
        <f t="shared" ref="AU4:AU67" si="25">AF4/AS4</f>
        <v>0.616086624605172</v>
      </c>
      <c r="AV4" s="45"/>
    </row>
    <row r="5" s="24" customFormat="1" ht="16" customHeight="1" spans="1:48">
      <c r="A5" s="25">
        <v>1</v>
      </c>
      <c r="B5" s="26">
        <v>307</v>
      </c>
      <c r="C5" s="59" t="s">
        <v>35</v>
      </c>
      <c r="D5" s="26" t="s">
        <v>34</v>
      </c>
      <c r="E5" s="25">
        <v>80000</v>
      </c>
      <c r="F5" s="28">
        <v>0.26</v>
      </c>
      <c r="G5" s="25">
        <f t="shared" si="0"/>
        <v>20800</v>
      </c>
      <c r="H5" s="29">
        <f>VLOOKUP(B5,[3]Sheet2!$A:$C,3,0)</f>
        <v>10</v>
      </c>
      <c r="I5" s="25">
        <f>VLOOKUP(B5,[3]实习生!$A:$C,3,0)</f>
        <v>5</v>
      </c>
      <c r="J5" s="30">
        <v>615827.01</v>
      </c>
      <c r="K5" s="30">
        <f>VLOOKUP(B5,[1]查询时间段分门店销售汇总!$D:$M,10,0)</f>
        <v>64880.59</v>
      </c>
      <c r="L5" s="31">
        <f>E5*1.4</f>
        <v>112000</v>
      </c>
      <c r="M5" s="32">
        <v>0.2431</v>
      </c>
      <c r="N5" s="37">
        <f t="shared" si="1"/>
        <v>27227.2</v>
      </c>
      <c r="O5" s="37">
        <f t="shared" si="2"/>
        <v>448000</v>
      </c>
      <c r="P5" s="37">
        <f t="shared" si="3"/>
        <v>108908.8</v>
      </c>
      <c r="Q5" s="85">
        <f t="shared" si="4"/>
        <v>1.37461386160714</v>
      </c>
      <c r="R5" s="81">
        <f t="shared" si="5"/>
        <v>0.595733218986895</v>
      </c>
      <c r="S5" s="82">
        <f t="shared" si="6"/>
        <v>128800</v>
      </c>
      <c r="T5" s="83">
        <f>10*50</f>
        <v>500</v>
      </c>
      <c r="U5" s="84"/>
      <c r="V5" s="84"/>
      <c r="W5" s="32">
        <f t="shared" si="7"/>
        <v>0.228514</v>
      </c>
      <c r="X5" s="37">
        <f t="shared" si="8"/>
        <v>29432.6032</v>
      </c>
      <c r="Y5" s="38">
        <f t="shared" si="9"/>
        <v>515200</v>
      </c>
      <c r="Z5" s="38">
        <f t="shared" si="10"/>
        <v>117730.4128</v>
      </c>
      <c r="AA5" s="81">
        <f t="shared" si="11"/>
        <v>1.19531640139752</v>
      </c>
      <c r="AB5" s="81">
        <f t="shared" si="12"/>
        <v>0.551094559654852</v>
      </c>
      <c r="AC5" s="97"/>
      <c r="AD5" s="71"/>
      <c r="AE5" s="98">
        <f>VLOOKUP(B5,[2]查询时间段分门店销售汇总!$D:$L,9,0)</f>
        <v>260429.04</v>
      </c>
      <c r="AF5" s="98">
        <f>VLOOKUP(B5,[2]查询时间段分门店销售汇总!$D:$M,10,0)</f>
        <v>45626.62</v>
      </c>
      <c r="AG5" s="41">
        <f t="shared" si="13"/>
        <v>99680</v>
      </c>
      <c r="AH5" s="28">
        <v>0.2467465</v>
      </c>
      <c r="AI5" s="43">
        <f t="shared" si="14"/>
        <v>24595.69112</v>
      </c>
      <c r="AJ5" s="43">
        <f t="shared" si="15"/>
        <v>299040</v>
      </c>
      <c r="AK5" s="43">
        <f t="shared" si="16"/>
        <v>73787.07336</v>
      </c>
      <c r="AL5" s="28">
        <f t="shared" si="17"/>
        <v>0.870883627608347</v>
      </c>
      <c r="AM5" s="28">
        <f t="shared" si="18"/>
        <v>0.61835519315683</v>
      </c>
      <c r="AN5" s="43">
        <f t="shared" si="19"/>
        <v>115628.8</v>
      </c>
      <c r="AO5" s="44"/>
      <c r="AP5" s="28">
        <f t="shared" si="20"/>
        <v>0.23687664</v>
      </c>
      <c r="AQ5" s="43">
        <f t="shared" si="21"/>
        <v>27389.761631232</v>
      </c>
      <c r="AR5" s="43">
        <f t="shared" si="22"/>
        <v>346886.4</v>
      </c>
      <c r="AS5" s="43">
        <f t="shared" si="23"/>
        <v>82169.284893696</v>
      </c>
      <c r="AT5" s="107">
        <f t="shared" si="24"/>
        <v>0.75076174793823</v>
      </c>
      <c r="AU5" s="107">
        <f t="shared" si="25"/>
        <v>0.555275855923878</v>
      </c>
      <c r="AV5" s="108"/>
    </row>
    <row r="6" spans="1:47">
      <c r="A6" s="25">
        <v>120</v>
      </c>
      <c r="B6" s="26">
        <v>115971</v>
      </c>
      <c r="C6" s="27" t="s">
        <v>36</v>
      </c>
      <c r="D6" s="26" t="s">
        <v>37</v>
      </c>
      <c r="E6" s="25">
        <v>3400</v>
      </c>
      <c r="F6" s="28">
        <v>0.28</v>
      </c>
      <c r="G6" s="25">
        <f t="shared" si="0"/>
        <v>952</v>
      </c>
      <c r="H6" s="29">
        <f>VLOOKUP(B6,[3]Sheet2!$A:$C,3,0)</f>
        <v>1</v>
      </c>
      <c r="I6" s="25">
        <f>VLOOKUP(B6,[3]实习生!$A:$C,3,0)</f>
        <v>1</v>
      </c>
      <c r="J6" s="30">
        <f>VLOOKUP(B6,[1]查询时间段分门店销售汇总!$D:$L,9,0)</f>
        <v>26362.93</v>
      </c>
      <c r="K6" s="30">
        <f>VLOOKUP(B6,[1]查询时间段分门店销售汇总!$D:$M,10,0)</f>
        <v>4481.15</v>
      </c>
      <c r="L6" s="31">
        <f>E6*1.6</f>
        <v>5440</v>
      </c>
      <c r="M6" s="32">
        <v>0.2618</v>
      </c>
      <c r="N6" s="37">
        <f t="shared" si="1"/>
        <v>1424.192</v>
      </c>
      <c r="O6" s="37">
        <f t="shared" si="2"/>
        <v>21760</v>
      </c>
      <c r="P6" s="37">
        <f t="shared" si="3"/>
        <v>5696.768</v>
      </c>
      <c r="Q6" s="85">
        <f t="shared" si="4"/>
        <v>1.21153170955882</v>
      </c>
      <c r="R6" s="81">
        <f t="shared" si="5"/>
        <v>0.786612689862041</v>
      </c>
      <c r="S6" s="82">
        <f t="shared" si="6"/>
        <v>6256</v>
      </c>
      <c r="T6" s="83"/>
      <c r="U6" s="82"/>
      <c r="V6" s="84"/>
      <c r="W6" s="32">
        <f t="shared" si="7"/>
        <v>0.246092</v>
      </c>
      <c r="X6" s="37">
        <f t="shared" si="8"/>
        <v>1539.551552</v>
      </c>
      <c r="Y6" s="38">
        <f t="shared" si="9"/>
        <v>25024</v>
      </c>
      <c r="Z6" s="38">
        <f t="shared" si="10"/>
        <v>6158.206208</v>
      </c>
      <c r="AA6" s="85">
        <f t="shared" si="11"/>
        <v>1.05350583439898</v>
      </c>
      <c r="AB6" s="81">
        <f t="shared" si="12"/>
        <v>0.727671313470898</v>
      </c>
      <c r="AC6" s="97">
        <v>150</v>
      </c>
      <c r="AD6" s="71"/>
      <c r="AE6" s="98">
        <f>VLOOKUP(B6,[2]查询时间段分门店销售汇总!$D:$L,9,0)</f>
        <v>14042.37</v>
      </c>
      <c r="AF6" s="98">
        <f>VLOOKUP(B6,[2]查询时间段分门店销售汇总!$D:$M,10,0)</f>
        <v>3246.61</v>
      </c>
      <c r="AG6" s="41">
        <f t="shared" si="13"/>
        <v>4841.6</v>
      </c>
      <c r="AH6" s="28">
        <v>0.265727</v>
      </c>
      <c r="AI6" s="43">
        <f t="shared" si="14"/>
        <v>1286.5438432</v>
      </c>
      <c r="AJ6" s="43">
        <f t="shared" si="15"/>
        <v>14524.8</v>
      </c>
      <c r="AK6" s="43">
        <f t="shared" si="16"/>
        <v>3859.6315296</v>
      </c>
      <c r="AL6" s="28">
        <f t="shared" si="17"/>
        <v>0.966785773298083</v>
      </c>
      <c r="AM6" s="28">
        <f t="shared" si="18"/>
        <v>0.841170970622802</v>
      </c>
      <c r="AN6" s="43">
        <f t="shared" si="19"/>
        <v>5616.256</v>
      </c>
      <c r="AP6" s="28">
        <f t="shared" si="20"/>
        <v>0.25509792</v>
      </c>
      <c r="AQ6" s="43">
        <f t="shared" si="21"/>
        <v>1432.69522378752</v>
      </c>
      <c r="AR6" s="43">
        <f t="shared" si="22"/>
        <v>16848.768</v>
      </c>
      <c r="AS6" s="43">
        <f t="shared" si="23"/>
        <v>4298.08567136256</v>
      </c>
      <c r="AT6" s="107">
        <f t="shared" si="24"/>
        <v>0.833436011463865</v>
      </c>
      <c r="AU6" s="107">
        <f t="shared" si="25"/>
        <v>0.75536186298743</v>
      </c>
    </row>
    <row r="7" spans="1:47">
      <c r="A7" s="25">
        <v>51</v>
      </c>
      <c r="B7" s="26">
        <v>329</v>
      </c>
      <c r="C7" s="27" t="s">
        <v>38</v>
      </c>
      <c r="D7" s="26" t="s">
        <v>39</v>
      </c>
      <c r="E7" s="25">
        <v>6000</v>
      </c>
      <c r="F7" s="28">
        <v>0.1589</v>
      </c>
      <c r="G7" s="25">
        <f t="shared" si="0"/>
        <v>953.4</v>
      </c>
      <c r="H7" s="29">
        <f>VLOOKUP(B7,[3]Sheet2!$A:$C,3,0)</f>
        <v>2</v>
      </c>
      <c r="J7" s="30">
        <f>VLOOKUP(B7,[1]查询时间段分门店销售汇总!$D:$L,9,0)</f>
        <v>39061</v>
      </c>
      <c r="K7" s="30">
        <f>VLOOKUP(B7,[1]查询时间段分门店销售汇总!$D:$M,10,0)</f>
        <v>9520.01</v>
      </c>
      <c r="L7" s="31">
        <f>E7*1.45</f>
        <v>8700</v>
      </c>
      <c r="M7" s="32">
        <v>0.15</v>
      </c>
      <c r="N7" s="37">
        <f t="shared" si="1"/>
        <v>1305</v>
      </c>
      <c r="O7" s="37">
        <f t="shared" si="2"/>
        <v>34800</v>
      </c>
      <c r="P7" s="37">
        <f t="shared" si="3"/>
        <v>5220</v>
      </c>
      <c r="Q7" s="85">
        <f t="shared" si="4"/>
        <v>1.12244252873563</v>
      </c>
      <c r="R7" s="81">
        <f t="shared" si="5"/>
        <v>1.82375670498084</v>
      </c>
      <c r="S7" s="82">
        <f t="shared" si="6"/>
        <v>10005</v>
      </c>
      <c r="T7" s="83">
        <f t="shared" ref="T5:T16" si="26">H7*50</f>
        <v>100</v>
      </c>
      <c r="U7" s="82"/>
      <c r="V7" s="84"/>
      <c r="W7" s="32">
        <f t="shared" si="7"/>
        <v>0.141</v>
      </c>
      <c r="X7" s="37">
        <f t="shared" si="8"/>
        <v>1410.705</v>
      </c>
      <c r="Y7" s="38">
        <f t="shared" si="9"/>
        <v>40020</v>
      </c>
      <c r="Z7" s="38">
        <f t="shared" si="10"/>
        <v>5642.82</v>
      </c>
      <c r="AA7" s="81">
        <f t="shared" si="11"/>
        <v>0.976036981509245</v>
      </c>
      <c r="AB7" s="81">
        <f t="shared" si="12"/>
        <v>1.68710148471863</v>
      </c>
      <c r="AC7" s="71"/>
      <c r="AD7" s="71"/>
      <c r="AE7" s="98">
        <f>VLOOKUP(B7,[2]查询时间段分门店销售汇总!$D:$L,9,0)</f>
        <v>23762.46</v>
      </c>
      <c r="AF7" s="98">
        <f>VLOOKUP(B7,[2]查询时间段分门店销售汇总!$D:$M,10,0)</f>
        <v>5128.05</v>
      </c>
      <c r="AG7" s="41">
        <f t="shared" si="13"/>
        <v>7743</v>
      </c>
      <c r="AH7" s="28">
        <v>0.15225</v>
      </c>
      <c r="AI7" s="43">
        <f t="shared" si="14"/>
        <v>1178.87175</v>
      </c>
      <c r="AJ7" s="43">
        <f t="shared" si="15"/>
        <v>23229</v>
      </c>
      <c r="AK7" s="43">
        <f t="shared" si="16"/>
        <v>3536.61525</v>
      </c>
      <c r="AL7" s="103">
        <f t="shared" si="17"/>
        <v>1.02296525894356</v>
      </c>
      <c r="AM7" s="103">
        <f t="shared" si="18"/>
        <v>1.44998809242821</v>
      </c>
      <c r="AN7" s="43">
        <f t="shared" si="19"/>
        <v>8981.88</v>
      </c>
      <c r="AO7" s="44" t="s">
        <v>40</v>
      </c>
      <c r="AP7" s="28">
        <f t="shared" si="20"/>
        <v>0.14616</v>
      </c>
      <c r="AQ7" s="43">
        <f t="shared" si="21"/>
        <v>1312.7915808</v>
      </c>
      <c r="AR7" s="43">
        <f t="shared" si="22"/>
        <v>26945.64</v>
      </c>
      <c r="AS7" s="43">
        <f t="shared" si="23"/>
        <v>3938.3747424</v>
      </c>
      <c r="AT7" s="107">
        <f t="shared" si="24"/>
        <v>0.881866602537553</v>
      </c>
      <c r="AU7" s="107">
        <f t="shared" si="25"/>
        <v>1.30207264047073</v>
      </c>
    </row>
    <row r="8" spans="1:47">
      <c r="A8" s="25">
        <v>25</v>
      </c>
      <c r="B8" s="26">
        <v>114844</v>
      </c>
      <c r="C8" s="27" t="s">
        <v>41</v>
      </c>
      <c r="D8" s="26" t="s">
        <v>42</v>
      </c>
      <c r="E8" s="25">
        <v>7500</v>
      </c>
      <c r="F8" s="28">
        <v>0.22</v>
      </c>
      <c r="G8" s="25">
        <f t="shared" si="0"/>
        <v>1650</v>
      </c>
      <c r="H8" s="29">
        <f>VLOOKUP(B8,[3]Sheet2!$A:$C,3,0)</f>
        <v>3</v>
      </c>
      <c r="J8" s="30">
        <f>VLOOKUP(B8,[1]查询时间段分门店销售汇总!$D:$L,9,0)</f>
        <v>48609.61</v>
      </c>
      <c r="K8" s="30">
        <f>VLOOKUP(B8,[1]查询时间段分门店销售汇总!$D:$M,10,0)</f>
        <v>8565.65</v>
      </c>
      <c r="L8" s="31">
        <f>E8*1.45</f>
        <v>10875</v>
      </c>
      <c r="M8" s="32">
        <v>0.2057</v>
      </c>
      <c r="N8" s="37">
        <f t="shared" si="1"/>
        <v>2236.9875</v>
      </c>
      <c r="O8" s="37">
        <f t="shared" si="2"/>
        <v>43500</v>
      </c>
      <c r="P8" s="37">
        <f t="shared" si="3"/>
        <v>8947.95</v>
      </c>
      <c r="Q8" s="85">
        <f t="shared" si="4"/>
        <v>1.11746229885057</v>
      </c>
      <c r="R8" s="81">
        <f t="shared" si="5"/>
        <v>0.957275130057723</v>
      </c>
      <c r="S8" s="82">
        <f t="shared" si="6"/>
        <v>12506.25</v>
      </c>
      <c r="T8" s="83">
        <f t="shared" si="26"/>
        <v>150</v>
      </c>
      <c r="U8" s="82"/>
      <c r="V8" s="84"/>
      <c r="W8" s="32">
        <f t="shared" si="7"/>
        <v>0.193358</v>
      </c>
      <c r="X8" s="37">
        <f t="shared" si="8"/>
        <v>2418.1834875</v>
      </c>
      <c r="Y8" s="38">
        <f t="shared" si="9"/>
        <v>50025</v>
      </c>
      <c r="Z8" s="38">
        <f t="shared" si="10"/>
        <v>9672.73395</v>
      </c>
      <c r="AA8" s="81">
        <f t="shared" si="11"/>
        <v>0.971706346826587</v>
      </c>
      <c r="AB8" s="81">
        <f t="shared" si="12"/>
        <v>0.885545911246737</v>
      </c>
      <c r="AC8" s="71"/>
      <c r="AD8" s="71"/>
      <c r="AE8" s="98">
        <f>VLOOKUP(B8,[2]查询时间段分门店销售汇总!$D:$L,9,0)</f>
        <v>28708.35</v>
      </c>
      <c r="AF8" s="98">
        <f>VLOOKUP(B8,[2]查询时间段分门店销售汇总!$D:$M,10,0)</f>
        <v>5719.99</v>
      </c>
      <c r="AG8" s="41">
        <f t="shared" si="13"/>
        <v>9678.75</v>
      </c>
      <c r="AH8" s="28">
        <v>0.2087855</v>
      </c>
      <c r="AI8" s="43">
        <f t="shared" si="14"/>
        <v>2020.782658125</v>
      </c>
      <c r="AJ8" s="43">
        <f t="shared" si="15"/>
        <v>29036.25</v>
      </c>
      <c r="AK8" s="43">
        <f t="shared" si="16"/>
        <v>6062.347974375</v>
      </c>
      <c r="AL8" s="28">
        <f t="shared" si="17"/>
        <v>0.988707219423996</v>
      </c>
      <c r="AM8" s="28">
        <f t="shared" si="18"/>
        <v>0.943527165411468</v>
      </c>
      <c r="AN8" s="43">
        <f t="shared" si="19"/>
        <v>11227.35</v>
      </c>
      <c r="AP8" s="28">
        <f t="shared" si="20"/>
        <v>0.20043408</v>
      </c>
      <c r="AQ8" s="43">
        <f t="shared" si="21"/>
        <v>2250.343568088</v>
      </c>
      <c r="AR8" s="43">
        <f t="shared" si="22"/>
        <v>33682.05</v>
      </c>
      <c r="AS8" s="43">
        <f t="shared" si="23"/>
        <v>6751.030704264</v>
      </c>
      <c r="AT8" s="107">
        <f t="shared" si="24"/>
        <v>0.852333809848272</v>
      </c>
      <c r="AU8" s="107">
        <f t="shared" si="25"/>
        <v>0.847276549399666</v>
      </c>
    </row>
    <row r="9" spans="1:47">
      <c r="A9" s="25">
        <v>2</v>
      </c>
      <c r="B9" s="26">
        <v>517</v>
      </c>
      <c r="C9" s="27" t="s">
        <v>43</v>
      </c>
      <c r="D9" s="26" t="s">
        <v>42</v>
      </c>
      <c r="E9" s="25">
        <v>29000</v>
      </c>
      <c r="F9" s="28">
        <v>0.2204</v>
      </c>
      <c r="G9" s="25">
        <f t="shared" si="0"/>
        <v>6391.6</v>
      </c>
      <c r="H9" s="29">
        <f>VLOOKUP(B9,[3]Sheet2!$A:$C,3,0)</f>
        <v>3</v>
      </c>
      <c r="I9" s="25">
        <f>VLOOKUP(B9,[3]实习生!$A:$C,3,0)</f>
        <v>2</v>
      </c>
      <c r="J9" s="30">
        <f>VLOOKUP(B9,[1]查询时间段分门店销售汇总!$D:$L,9,0)</f>
        <v>160621.15</v>
      </c>
      <c r="K9" s="30">
        <f>VLOOKUP(B9,[1]查询时间段分门店销售汇总!$D:$M,10,0)</f>
        <v>27970.38</v>
      </c>
      <c r="L9" s="31">
        <f>E9*1.25</f>
        <v>36250</v>
      </c>
      <c r="M9" s="32">
        <v>0.206074</v>
      </c>
      <c r="N9" s="37">
        <f t="shared" si="1"/>
        <v>7470.1825</v>
      </c>
      <c r="O9" s="37">
        <f t="shared" si="2"/>
        <v>145000</v>
      </c>
      <c r="P9" s="37">
        <f t="shared" si="3"/>
        <v>29880.73</v>
      </c>
      <c r="Q9" s="85">
        <f t="shared" si="4"/>
        <v>1.10773206896552</v>
      </c>
      <c r="R9" s="81">
        <f t="shared" si="5"/>
        <v>0.936067492326995</v>
      </c>
      <c r="S9" s="82">
        <f t="shared" si="6"/>
        <v>41687.5</v>
      </c>
      <c r="T9" s="83">
        <f t="shared" si="26"/>
        <v>150</v>
      </c>
      <c r="U9" s="82"/>
      <c r="V9" s="84"/>
      <c r="W9" s="32">
        <f t="shared" si="7"/>
        <v>0.19370956</v>
      </c>
      <c r="X9" s="37">
        <f t="shared" si="8"/>
        <v>8075.2672825</v>
      </c>
      <c r="Y9" s="38">
        <f t="shared" si="9"/>
        <v>166750</v>
      </c>
      <c r="Z9" s="38">
        <f t="shared" si="10"/>
        <v>32301.06913</v>
      </c>
      <c r="AA9" s="81">
        <f t="shared" si="11"/>
        <v>0.963245277361319</v>
      </c>
      <c r="AB9" s="81">
        <f t="shared" si="12"/>
        <v>0.865927374955592</v>
      </c>
      <c r="AC9" s="71"/>
      <c r="AD9" s="71"/>
      <c r="AE9" s="98">
        <f>VLOOKUP(B9,[2]查询时间段分门店销售汇总!$D:$L,9,0)</f>
        <v>103385.68</v>
      </c>
      <c r="AF9" s="98">
        <f>VLOOKUP(B9,[2]查询时间段分门店销售汇总!$D:$M,10,0)</f>
        <v>21032.7</v>
      </c>
      <c r="AG9" s="41">
        <f t="shared" si="13"/>
        <v>32262.5</v>
      </c>
      <c r="AH9" s="28">
        <v>0.20916511</v>
      </c>
      <c r="AI9" s="43">
        <f t="shared" si="14"/>
        <v>6748.189361375</v>
      </c>
      <c r="AJ9" s="43">
        <f t="shared" si="15"/>
        <v>96787.5</v>
      </c>
      <c r="AK9" s="43">
        <f t="shared" si="16"/>
        <v>20244.568084125</v>
      </c>
      <c r="AL9" s="103">
        <f t="shared" si="17"/>
        <v>1.06817181970812</v>
      </c>
      <c r="AM9" s="103">
        <f t="shared" si="18"/>
        <v>1.0389305374459</v>
      </c>
      <c r="AN9" s="43">
        <f t="shared" si="19"/>
        <v>37424.5</v>
      </c>
      <c r="AO9" s="44" t="s">
        <v>40</v>
      </c>
      <c r="AP9" s="28">
        <f t="shared" si="20"/>
        <v>0.2007985056</v>
      </c>
      <c r="AQ9" s="43">
        <f t="shared" si="21"/>
        <v>7514.7836728272</v>
      </c>
      <c r="AR9" s="43">
        <f t="shared" si="22"/>
        <v>112273.5</v>
      </c>
      <c r="AS9" s="43">
        <f t="shared" si="23"/>
        <v>22544.3510184816</v>
      </c>
      <c r="AT9" s="107">
        <f t="shared" si="24"/>
        <v>0.920837775610451</v>
      </c>
      <c r="AU9" s="107">
        <f t="shared" si="25"/>
        <v>0.932947680896098</v>
      </c>
    </row>
    <row r="10" spans="1:47">
      <c r="A10" s="25">
        <v>52</v>
      </c>
      <c r="B10" s="26">
        <v>399</v>
      </c>
      <c r="C10" s="27" t="s">
        <v>44</v>
      </c>
      <c r="D10" s="26" t="s">
        <v>37</v>
      </c>
      <c r="E10" s="25">
        <v>6000</v>
      </c>
      <c r="F10" s="28">
        <v>0.2746</v>
      </c>
      <c r="G10" s="25">
        <f t="shared" si="0"/>
        <v>1647.6</v>
      </c>
      <c r="H10" s="29">
        <f>VLOOKUP(B10,[3]Sheet2!$A:$C,3,0)</f>
        <v>2</v>
      </c>
      <c r="I10" s="25">
        <f>VLOOKUP(B10,[3]实习生!$A:$C,3,0)</f>
        <v>1</v>
      </c>
      <c r="J10" s="30">
        <f>VLOOKUP(B10,[1]查询时间段分门店销售汇总!$D:$L,9,0)</f>
        <v>37073.58</v>
      </c>
      <c r="K10" s="30">
        <f>VLOOKUP(B10,[1]查询时间段分门店销售汇总!$D:$M,10,0)</f>
        <v>8164.62</v>
      </c>
      <c r="L10" s="31">
        <f>E10*1.45</f>
        <v>8700</v>
      </c>
      <c r="M10" s="32">
        <v>0.256751</v>
      </c>
      <c r="N10" s="37">
        <f t="shared" si="1"/>
        <v>2233.7337</v>
      </c>
      <c r="O10" s="37">
        <f t="shared" si="2"/>
        <v>34800</v>
      </c>
      <c r="P10" s="37">
        <f t="shared" si="3"/>
        <v>8934.9348</v>
      </c>
      <c r="Q10" s="85">
        <f t="shared" si="4"/>
        <v>1.06533275862069</v>
      </c>
      <c r="R10" s="81">
        <f t="shared" si="5"/>
        <v>0.91378618677777</v>
      </c>
      <c r="S10" s="82">
        <f t="shared" si="6"/>
        <v>10005</v>
      </c>
      <c r="T10" s="83">
        <f t="shared" si="26"/>
        <v>100</v>
      </c>
      <c r="U10" s="82"/>
      <c r="V10" s="84"/>
      <c r="W10" s="32">
        <f t="shared" si="7"/>
        <v>0.24134594</v>
      </c>
      <c r="X10" s="37">
        <f t="shared" si="8"/>
        <v>2414.6661297</v>
      </c>
      <c r="Y10" s="38">
        <f t="shared" si="9"/>
        <v>40020</v>
      </c>
      <c r="Z10" s="38">
        <f t="shared" si="10"/>
        <v>9658.6645188</v>
      </c>
      <c r="AA10" s="81">
        <f t="shared" si="11"/>
        <v>0.926376311844078</v>
      </c>
      <c r="AB10" s="81">
        <f t="shared" si="12"/>
        <v>0.845315621441046</v>
      </c>
      <c r="AC10" s="71"/>
      <c r="AD10" s="71"/>
      <c r="AE10" s="98">
        <f>VLOOKUP(B10,[2]查询时间段分门店销售汇总!$D:$L,9,0)</f>
        <v>23011.76</v>
      </c>
      <c r="AF10" s="98">
        <f>VLOOKUP(B10,[2]查询时间段分门店销售汇总!$D:$M,10,0)</f>
        <v>6448.73</v>
      </c>
      <c r="AG10" s="41">
        <f t="shared" si="13"/>
        <v>7743</v>
      </c>
      <c r="AH10" s="28">
        <v>0.260602265</v>
      </c>
      <c r="AI10" s="43">
        <f t="shared" si="14"/>
        <v>2017.843337895</v>
      </c>
      <c r="AJ10" s="43">
        <f t="shared" si="15"/>
        <v>23229</v>
      </c>
      <c r="AK10" s="43">
        <f t="shared" si="16"/>
        <v>6053.530013685</v>
      </c>
      <c r="AL10" s="28">
        <f t="shared" si="17"/>
        <v>0.99064789702527</v>
      </c>
      <c r="AM10" s="28">
        <f t="shared" si="18"/>
        <v>1.06528422018584</v>
      </c>
      <c r="AN10" s="43">
        <f t="shared" si="19"/>
        <v>8981.88</v>
      </c>
      <c r="AP10" s="28">
        <f t="shared" si="20"/>
        <v>0.2501781744</v>
      </c>
      <c r="AQ10" s="43">
        <f t="shared" si="21"/>
        <v>2247.07034107987</v>
      </c>
      <c r="AR10" s="43">
        <f t="shared" si="22"/>
        <v>26945.64</v>
      </c>
      <c r="AS10" s="43">
        <f t="shared" si="23"/>
        <v>6741.21102323962</v>
      </c>
      <c r="AT10" s="107">
        <f t="shared" si="24"/>
        <v>0.854006807780405</v>
      </c>
      <c r="AU10" s="107">
        <f t="shared" si="25"/>
        <v>0.956612985080674</v>
      </c>
    </row>
    <row r="11" spans="1:47">
      <c r="A11" s="25">
        <v>117</v>
      </c>
      <c r="B11" s="26">
        <v>713</v>
      </c>
      <c r="C11" s="27" t="s">
        <v>45</v>
      </c>
      <c r="D11" s="26" t="s">
        <v>46</v>
      </c>
      <c r="E11" s="25">
        <v>3400</v>
      </c>
      <c r="F11" s="28">
        <v>0.304</v>
      </c>
      <c r="G11" s="25">
        <f t="shared" si="0"/>
        <v>1033.6</v>
      </c>
      <c r="H11" s="29">
        <f>VLOOKUP(B11,[3]Sheet2!$A:$C,3,0)</f>
        <v>2</v>
      </c>
      <c r="J11" s="30">
        <f>VLOOKUP(B11,[1]查询时间段分门店销售汇总!$D:$L,9,0)</f>
        <v>21895.44</v>
      </c>
      <c r="K11" s="30">
        <f>VLOOKUP(B11,[1]查询时间段分门店销售汇总!$D:$M,10,0)</f>
        <v>5697.54</v>
      </c>
      <c r="L11" s="31">
        <f>E11*1.6</f>
        <v>5440</v>
      </c>
      <c r="M11" s="32">
        <v>0.28424</v>
      </c>
      <c r="N11" s="37">
        <f t="shared" si="1"/>
        <v>1546.2656</v>
      </c>
      <c r="O11" s="37">
        <f t="shared" si="2"/>
        <v>21760</v>
      </c>
      <c r="P11" s="37">
        <f t="shared" si="3"/>
        <v>6185.0624</v>
      </c>
      <c r="Q11" s="85">
        <f t="shared" si="4"/>
        <v>1.00622426470588</v>
      </c>
      <c r="R11" s="81">
        <f t="shared" si="5"/>
        <v>0.921177448428006</v>
      </c>
      <c r="S11" s="82">
        <f t="shared" si="6"/>
        <v>6256</v>
      </c>
      <c r="T11" s="83">
        <f t="shared" si="26"/>
        <v>100</v>
      </c>
      <c r="U11" s="82"/>
      <c r="V11" s="84"/>
      <c r="W11" s="32">
        <f t="shared" si="7"/>
        <v>0.2671856</v>
      </c>
      <c r="X11" s="37">
        <f t="shared" si="8"/>
        <v>1671.5131136</v>
      </c>
      <c r="Y11" s="38">
        <f t="shared" si="9"/>
        <v>25024</v>
      </c>
      <c r="Z11" s="38">
        <f t="shared" si="10"/>
        <v>6686.0524544</v>
      </c>
      <c r="AA11" s="81">
        <f t="shared" si="11"/>
        <v>0.874977621483376</v>
      </c>
      <c r="AB11" s="81">
        <f t="shared" si="12"/>
        <v>0.852153051274751</v>
      </c>
      <c r="AC11" s="71"/>
      <c r="AD11" s="71"/>
      <c r="AE11" s="98">
        <f>VLOOKUP(B11,[2]查询时间段分门店销售汇总!$D:$L,9,0)</f>
        <v>13045.98</v>
      </c>
      <c r="AF11" s="98">
        <f>VLOOKUP(B11,[2]查询时间段分门店销售汇总!$D:$M,10,0)</f>
        <v>4087.92</v>
      </c>
      <c r="AG11" s="41">
        <f t="shared" si="13"/>
        <v>4841.6</v>
      </c>
      <c r="AH11" s="28">
        <v>0.2885036</v>
      </c>
      <c r="AI11" s="43">
        <f t="shared" si="14"/>
        <v>1396.81902976</v>
      </c>
      <c r="AJ11" s="43">
        <f t="shared" si="15"/>
        <v>14524.8</v>
      </c>
      <c r="AK11" s="43">
        <f t="shared" si="16"/>
        <v>4190.45708928</v>
      </c>
      <c r="AL11" s="28">
        <f t="shared" si="17"/>
        <v>0.898186549900859</v>
      </c>
      <c r="AM11" s="28">
        <f t="shared" si="18"/>
        <v>0.975530810339925</v>
      </c>
      <c r="AN11" s="43">
        <f t="shared" si="19"/>
        <v>5616.256</v>
      </c>
      <c r="AP11" s="28">
        <f t="shared" si="20"/>
        <v>0.276963456</v>
      </c>
      <c r="AQ11" s="43">
        <f t="shared" si="21"/>
        <v>1555.49767154074</v>
      </c>
      <c r="AR11" s="43">
        <f t="shared" si="22"/>
        <v>16848.768</v>
      </c>
      <c r="AS11" s="43">
        <f t="shared" si="23"/>
        <v>4666.49301462221</v>
      </c>
      <c r="AT11" s="107">
        <f t="shared" si="24"/>
        <v>0.774298749914534</v>
      </c>
      <c r="AU11" s="107">
        <f t="shared" si="25"/>
        <v>0.876015454687432</v>
      </c>
    </row>
    <row r="12" spans="1:47">
      <c r="A12" s="25">
        <v>76</v>
      </c>
      <c r="B12" s="26">
        <v>587</v>
      </c>
      <c r="C12" s="27" t="s">
        <v>47</v>
      </c>
      <c r="D12" s="26" t="s">
        <v>46</v>
      </c>
      <c r="E12" s="25">
        <v>4800</v>
      </c>
      <c r="F12" s="28">
        <v>0.31</v>
      </c>
      <c r="G12" s="25">
        <f t="shared" si="0"/>
        <v>1488</v>
      </c>
      <c r="H12" s="29">
        <f>VLOOKUP(B12,[3]Sheet2!$A:$C,3,0)</f>
        <v>2</v>
      </c>
      <c r="J12" s="30">
        <f>VLOOKUP(B12,[1]查询时间段分门店销售汇总!$D:$L,9,0)</f>
        <v>29925.74</v>
      </c>
      <c r="K12" s="30">
        <f>VLOOKUP(B12,[1]查询时间段分门店销售汇总!$D:$M,10,0)</f>
        <v>7799.94</v>
      </c>
      <c r="L12" s="31">
        <f>E12*1.55</f>
        <v>7440</v>
      </c>
      <c r="M12" s="32">
        <v>0.28985</v>
      </c>
      <c r="N12" s="37">
        <f t="shared" si="1"/>
        <v>2156.484</v>
      </c>
      <c r="O12" s="37">
        <f t="shared" si="2"/>
        <v>29760</v>
      </c>
      <c r="P12" s="37">
        <f t="shared" si="3"/>
        <v>8625.936</v>
      </c>
      <c r="Q12" s="85">
        <f t="shared" si="4"/>
        <v>1.00556922043011</v>
      </c>
      <c r="R12" s="81">
        <f t="shared" si="5"/>
        <v>0.904242739570523</v>
      </c>
      <c r="S12" s="82">
        <f t="shared" si="6"/>
        <v>8556</v>
      </c>
      <c r="T12" s="83">
        <f t="shared" si="26"/>
        <v>100</v>
      </c>
      <c r="U12" s="82"/>
      <c r="V12" s="84"/>
      <c r="W12" s="32">
        <f t="shared" si="7"/>
        <v>0.272459</v>
      </c>
      <c r="X12" s="37">
        <f t="shared" si="8"/>
        <v>2331.159204</v>
      </c>
      <c r="Y12" s="38">
        <f t="shared" si="9"/>
        <v>34224</v>
      </c>
      <c r="Z12" s="38">
        <f t="shared" si="10"/>
        <v>9324.636816</v>
      </c>
      <c r="AA12" s="81">
        <f t="shared" si="11"/>
        <v>0.874408017765311</v>
      </c>
      <c r="AB12" s="81">
        <f t="shared" si="12"/>
        <v>0.836487270648032</v>
      </c>
      <c r="AC12" s="71"/>
      <c r="AD12" s="71"/>
      <c r="AE12" s="98">
        <f>VLOOKUP(B12,[2]查询时间段分门店销售汇总!$D:$L,9,0)</f>
        <v>16056.24</v>
      </c>
      <c r="AF12" s="98">
        <f>VLOOKUP(B12,[2]查询时间段分门店销售汇总!$D:$M,10,0)</f>
        <v>4907.67</v>
      </c>
      <c r="AG12" s="41">
        <f t="shared" si="13"/>
        <v>6621.6</v>
      </c>
      <c r="AH12" s="28">
        <v>0.29419775</v>
      </c>
      <c r="AI12" s="43">
        <f t="shared" si="14"/>
        <v>1948.0598214</v>
      </c>
      <c r="AJ12" s="43">
        <f t="shared" si="15"/>
        <v>19864.8</v>
      </c>
      <c r="AK12" s="43">
        <f t="shared" si="16"/>
        <v>5844.1794642</v>
      </c>
      <c r="AL12" s="28">
        <f t="shared" si="17"/>
        <v>0.808275945390842</v>
      </c>
      <c r="AM12" s="28">
        <f t="shared" si="18"/>
        <v>0.839753472675364</v>
      </c>
      <c r="AN12" s="43">
        <f t="shared" si="19"/>
        <v>7681.056</v>
      </c>
      <c r="AP12" s="28">
        <f t="shared" si="20"/>
        <v>0.28242984</v>
      </c>
      <c r="AQ12" s="43">
        <f t="shared" si="21"/>
        <v>2169.35941711104</v>
      </c>
      <c r="AR12" s="43">
        <f t="shared" si="22"/>
        <v>23043.168</v>
      </c>
      <c r="AS12" s="43">
        <f t="shared" si="23"/>
        <v>6508.07825133312</v>
      </c>
      <c r="AT12" s="107">
        <f t="shared" si="24"/>
        <v>0.696789608095553</v>
      </c>
      <c r="AU12" s="107">
        <f t="shared" si="25"/>
        <v>0.754088966123711</v>
      </c>
    </row>
    <row r="13" spans="1:47">
      <c r="A13" s="25">
        <v>4</v>
      </c>
      <c r="B13" s="26">
        <v>582</v>
      </c>
      <c r="C13" s="27" t="s">
        <v>48</v>
      </c>
      <c r="D13" s="26" t="s">
        <v>37</v>
      </c>
      <c r="E13" s="25">
        <v>28000</v>
      </c>
      <c r="F13" s="28">
        <v>0.1426</v>
      </c>
      <c r="G13" s="25">
        <f t="shared" si="0"/>
        <v>3992.8</v>
      </c>
      <c r="H13" s="29">
        <f>VLOOKUP(B13,[3]Sheet2!$A:$C,3,0)</f>
        <v>4</v>
      </c>
      <c r="I13" s="25">
        <f>VLOOKUP(B13,[3]实习生!$A:$C,3,0)</f>
        <v>2</v>
      </c>
      <c r="J13" s="30">
        <f>VLOOKUP(B13,[1]查询时间段分门店销售汇总!$D:$L,9,0)</f>
        <v>123843.49</v>
      </c>
      <c r="K13" s="30">
        <f>VLOOKUP(B13,[1]查询时间段分门店销售汇总!$D:$M,10,0)</f>
        <v>21221.45</v>
      </c>
      <c r="L13" s="31">
        <f>E13*1.1</f>
        <v>30800</v>
      </c>
      <c r="M13" s="71">
        <v>0.14</v>
      </c>
      <c r="N13" s="37">
        <f t="shared" si="1"/>
        <v>4312</v>
      </c>
      <c r="O13" s="37">
        <f t="shared" si="2"/>
        <v>123200</v>
      </c>
      <c r="P13" s="37">
        <f t="shared" si="3"/>
        <v>17248</v>
      </c>
      <c r="Q13" s="85">
        <f t="shared" si="4"/>
        <v>1.00522313311688</v>
      </c>
      <c r="R13" s="81">
        <f t="shared" si="5"/>
        <v>1.23037163729128</v>
      </c>
      <c r="S13" s="82">
        <f t="shared" si="6"/>
        <v>35420</v>
      </c>
      <c r="T13" s="83">
        <f t="shared" si="26"/>
        <v>200</v>
      </c>
      <c r="U13" s="82"/>
      <c r="V13" s="84"/>
      <c r="W13" s="32">
        <f t="shared" si="7"/>
        <v>0.1316</v>
      </c>
      <c r="X13" s="37">
        <f t="shared" si="8"/>
        <v>4661.272</v>
      </c>
      <c r="Y13" s="38">
        <f t="shared" si="9"/>
        <v>141680</v>
      </c>
      <c r="Z13" s="38">
        <f t="shared" si="10"/>
        <v>18645.088</v>
      </c>
      <c r="AA13" s="81">
        <f t="shared" si="11"/>
        <v>0.874107072275551</v>
      </c>
      <c r="AB13" s="81">
        <f t="shared" si="12"/>
        <v>1.13817912792903</v>
      </c>
      <c r="AC13" s="71"/>
      <c r="AD13" s="71"/>
      <c r="AE13" s="98">
        <f>VLOOKUP(B13,[2]查询时间段分门店销售汇总!$D:$L,9,0)</f>
        <v>81935.4</v>
      </c>
      <c r="AF13" s="98">
        <f>VLOOKUP(B13,[2]查询时间段分门店销售汇总!$D:$M,10,0)</f>
        <v>12839.14</v>
      </c>
      <c r="AG13" s="41">
        <f t="shared" si="13"/>
        <v>27412</v>
      </c>
      <c r="AH13" s="28">
        <v>0.1421</v>
      </c>
      <c r="AI13" s="43">
        <f t="shared" si="14"/>
        <v>3895.2452</v>
      </c>
      <c r="AJ13" s="43">
        <f t="shared" si="15"/>
        <v>82236</v>
      </c>
      <c r="AK13" s="43">
        <f t="shared" si="16"/>
        <v>11685.7356</v>
      </c>
      <c r="AL13" s="28">
        <f t="shared" si="17"/>
        <v>0.996344666569386</v>
      </c>
      <c r="AM13" s="28">
        <f t="shared" si="18"/>
        <v>1.09870190799114</v>
      </c>
      <c r="AN13" s="43">
        <f t="shared" si="19"/>
        <v>31797.92</v>
      </c>
      <c r="AP13" s="28">
        <f t="shared" si="20"/>
        <v>0.136416</v>
      </c>
      <c r="AQ13" s="43">
        <f t="shared" si="21"/>
        <v>4337.74505472</v>
      </c>
      <c r="AR13" s="43">
        <f t="shared" si="22"/>
        <v>95393.76</v>
      </c>
      <c r="AS13" s="43">
        <f t="shared" si="23"/>
        <v>13013.23516416</v>
      </c>
      <c r="AT13" s="107">
        <f t="shared" si="24"/>
        <v>0.858917816008091</v>
      </c>
      <c r="AU13" s="107">
        <f t="shared" si="25"/>
        <v>0.986621684618481</v>
      </c>
    </row>
    <row r="14" spans="1:47">
      <c r="A14" s="25">
        <v>127</v>
      </c>
      <c r="B14" s="26">
        <v>116773</v>
      </c>
      <c r="C14" s="27" t="s">
        <v>49</v>
      </c>
      <c r="D14" s="26" t="s">
        <v>39</v>
      </c>
      <c r="E14" s="25">
        <v>3000</v>
      </c>
      <c r="F14" s="28">
        <v>0.32</v>
      </c>
      <c r="G14" s="25">
        <f t="shared" si="0"/>
        <v>960</v>
      </c>
      <c r="H14" s="29">
        <f>VLOOKUP(B14,[3]Sheet2!$A:$C,3,0)</f>
        <v>2</v>
      </c>
      <c r="J14" s="30">
        <f>VLOOKUP(B14,[1]查询时间段分门店销售汇总!$D:$L,9,0)</f>
        <v>19233.23</v>
      </c>
      <c r="K14" s="30">
        <f>VLOOKUP(B14,[1]查询时间段分门店销售汇总!$D:$M,10,0)</f>
        <v>6009.09</v>
      </c>
      <c r="L14" s="31">
        <f>E14*1.6</f>
        <v>4800</v>
      </c>
      <c r="M14" s="32">
        <v>0.2992</v>
      </c>
      <c r="N14" s="37">
        <f t="shared" si="1"/>
        <v>1436.16</v>
      </c>
      <c r="O14" s="37">
        <f t="shared" si="2"/>
        <v>19200</v>
      </c>
      <c r="P14" s="37">
        <f t="shared" si="3"/>
        <v>5744.64</v>
      </c>
      <c r="Q14" s="85">
        <f t="shared" si="4"/>
        <v>1.00173072916667</v>
      </c>
      <c r="R14" s="81">
        <f t="shared" si="5"/>
        <v>1.04603421624332</v>
      </c>
      <c r="S14" s="82">
        <f t="shared" si="6"/>
        <v>5520</v>
      </c>
      <c r="T14" s="83">
        <f t="shared" si="26"/>
        <v>100</v>
      </c>
      <c r="U14" s="82"/>
      <c r="V14" s="84"/>
      <c r="W14" s="32">
        <f t="shared" si="7"/>
        <v>0.281248</v>
      </c>
      <c r="X14" s="37">
        <f t="shared" si="8"/>
        <v>1552.48896</v>
      </c>
      <c r="Y14" s="38">
        <f t="shared" si="9"/>
        <v>22080</v>
      </c>
      <c r="Z14" s="38">
        <f t="shared" si="10"/>
        <v>6209.95584</v>
      </c>
      <c r="AA14" s="81">
        <f t="shared" si="11"/>
        <v>0.871070199275362</v>
      </c>
      <c r="AB14" s="81">
        <f t="shared" si="12"/>
        <v>0.967654224091874</v>
      </c>
      <c r="AC14" s="71"/>
      <c r="AD14" s="71"/>
      <c r="AE14" s="98">
        <f>VLOOKUP(B14,[2]查询时间段分门店销售汇总!$D:$L,9,0)</f>
        <v>15276.8</v>
      </c>
      <c r="AF14" s="98">
        <f>VLOOKUP(B14,[2]查询时间段分门店销售汇总!$D:$M,10,0)</f>
        <v>4312.82</v>
      </c>
      <c r="AG14" s="41">
        <f t="shared" si="13"/>
        <v>4272</v>
      </c>
      <c r="AH14" s="28">
        <v>0.303688</v>
      </c>
      <c r="AI14" s="43">
        <f t="shared" si="14"/>
        <v>1297.355136</v>
      </c>
      <c r="AJ14" s="43">
        <f t="shared" si="15"/>
        <v>12816</v>
      </c>
      <c r="AK14" s="43">
        <f t="shared" si="16"/>
        <v>3892.065408</v>
      </c>
      <c r="AL14" s="103">
        <f t="shared" si="17"/>
        <v>1.19200998751561</v>
      </c>
      <c r="AM14" s="103">
        <f t="shared" si="18"/>
        <v>1.10810573510279</v>
      </c>
      <c r="AN14" s="43">
        <f t="shared" si="19"/>
        <v>4955.52</v>
      </c>
      <c r="AO14" s="44" t="s">
        <v>40</v>
      </c>
      <c r="AP14" s="28">
        <f t="shared" si="20"/>
        <v>0.29154048</v>
      </c>
      <c r="AQ14" s="43">
        <f t="shared" si="21"/>
        <v>1444.7346794496</v>
      </c>
      <c r="AR14" s="43">
        <f t="shared" si="22"/>
        <v>14866.56</v>
      </c>
      <c r="AS14" s="43">
        <f t="shared" si="23"/>
        <v>4334.2040383488</v>
      </c>
      <c r="AT14" s="107">
        <f t="shared" si="24"/>
        <v>1.0275948168238</v>
      </c>
      <c r="AU14" s="107">
        <f t="shared" si="25"/>
        <v>0.99506621327478</v>
      </c>
    </row>
    <row r="15" spans="1:47">
      <c r="A15" s="25">
        <v>111</v>
      </c>
      <c r="B15" s="26">
        <v>122198</v>
      </c>
      <c r="C15" s="27" t="s">
        <v>50</v>
      </c>
      <c r="D15" s="26" t="s">
        <v>51</v>
      </c>
      <c r="E15" s="25">
        <v>3500</v>
      </c>
      <c r="F15" s="28">
        <v>0.23</v>
      </c>
      <c r="G15" s="25">
        <f t="shared" si="0"/>
        <v>805</v>
      </c>
      <c r="H15" s="29">
        <f>VLOOKUP(B15,[3]Sheet2!$A:$C,3,0)</f>
        <v>2</v>
      </c>
      <c r="J15" s="30">
        <f>VLOOKUP(B15,[1]查询时间段分门店销售汇总!$D:$L,9,0)</f>
        <v>22422.52</v>
      </c>
      <c r="K15" s="30">
        <f>VLOOKUP(B15,[1]查询时间段分门店销售汇总!$D:$M,10,0)</f>
        <v>4774.65</v>
      </c>
      <c r="L15" s="31">
        <f>E15*1.6</f>
        <v>5600</v>
      </c>
      <c r="M15" s="32">
        <v>0.21505</v>
      </c>
      <c r="N15" s="37">
        <f t="shared" si="1"/>
        <v>1204.28</v>
      </c>
      <c r="O15" s="37">
        <f t="shared" si="2"/>
        <v>22400</v>
      </c>
      <c r="P15" s="37">
        <f t="shared" si="3"/>
        <v>4817.12</v>
      </c>
      <c r="Q15" s="85">
        <f t="shared" si="4"/>
        <v>1.00100535714286</v>
      </c>
      <c r="R15" s="81">
        <f t="shared" si="5"/>
        <v>0.991183528747467</v>
      </c>
      <c r="S15" s="82">
        <f t="shared" si="6"/>
        <v>6440</v>
      </c>
      <c r="T15" s="83">
        <f t="shared" si="26"/>
        <v>100</v>
      </c>
      <c r="U15" s="82"/>
      <c r="V15" s="84"/>
      <c r="W15" s="32">
        <f t="shared" si="7"/>
        <v>0.202147</v>
      </c>
      <c r="X15" s="37">
        <f t="shared" si="8"/>
        <v>1301.82668</v>
      </c>
      <c r="Y15" s="38">
        <f t="shared" si="9"/>
        <v>25760</v>
      </c>
      <c r="Z15" s="38">
        <f t="shared" si="10"/>
        <v>5207.30672</v>
      </c>
      <c r="AA15" s="81">
        <f t="shared" si="11"/>
        <v>0.870439440993789</v>
      </c>
      <c r="AB15" s="81">
        <f t="shared" si="12"/>
        <v>0.916913532606353</v>
      </c>
      <c r="AC15" s="71"/>
      <c r="AD15" s="71"/>
      <c r="AE15" s="98">
        <f>VLOOKUP(B15,[2]查询时间段分门店销售汇总!$D:$L,9,0)</f>
        <v>15019.51</v>
      </c>
      <c r="AF15" s="98">
        <f>VLOOKUP(B15,[2]查询时间段分门店销售汇总!$D:$M,10,0)</f>
        <v>3217.27</v>
      </c>
      <c r="AG15" s="41">
        <f t="shared" si="13"/>
        <v>4984</v>
      </c>
      <c r="AH15" s="28">
        <v>0.21827575</v>
      </c>
      <c r="AI15" s="43">
        <f t="shared" si="14"/>
        <v>1087.886338</v>
      </c>
      <c r="AJ15" s="43">
        <f t="shared" si="15"/>
        <v>14952</v>
      </c>
      <c r="AK15" s="43">
        <f t="shared" si="16"/>
        <v>3263.659014</v>
      </c>
      <c r="AL15" s="28">
        <f t="shared" si="17"/>
        <v>1.00451511503478</v>
      </c>
      <c r="AM15" s="28">
        <f t="shared" si="18"/>
        <v>0.985786194635835</v>
      </c>
      <c r="AN15" s="43">
        <f t="shared" si="19"/>
        <v>5781.44</v>
      </c>
      <c r="AP15" s="28">
        <f t="shared" si="20"/>
        <v>0.20954472</v>
      </c>
      <c r="AQ15" s="43">
        <f t="shared" si="21"/>
        <v>1211.4702259968</v>
      </c>
      <c r="AR15" s="43">
        <f t="shared" si="22"/>
        <v>17344.32</v>
      </c>
      <c r="AS15" s="43">
        <f t="shared" si="23"/>
        <v>3634.4106779904</v>
      </c>
      <c r="AT15" s="107">
        <f t="shared" si="24"/>
        <v>0.865961306064464</v>
      </c>
      <c r="AU15" s="107">
        <f t="shared" si="25"/>
        <v>0.885224671907179</v>
      </c>
    </row>
    <row r="16" spans="1:47">
      <c r="A16" s="25">
        <v>80</v>
      </c>
      <c r="B16" s="26">
        <v>104428</v>
      </c>
      <c r="C16" s="27" t="s">
        <v>52</v>
      </c>
      <c r="D16" s="26" t="s">
        <v>53</v>
      </c>
      <c r="E16" s="25">
        <v>4500</v>
      </c>
      <c r="F16" s="28">
        <v>0.3296</v>
      </c>
      <c r="G16" s="25">
        <f t="shared" si="0"/>
        <v>1483.2</v>
      </c>
      <c r="H16" s="29">
        <f>VLOOKUP(B16,[3]Sheet2!$A:$C,3,0)</f>
        <v>2</v>
      </c>
      <c r="J16" s="30">
        <f>VLOOKUP(B16,[1]查询时间段分门店销售汇总!$D:$L,9,0)</f>
        <v>27911.32</v>
      </c>
      <c r="K16" s="30">
        <f>VLOOKUP(B16,[1]查询时间段分门店销售汇总!$D:$M,10,0)</f>
        <v>8075.42</v>
      </c>
      <c r="L16" s="31">
        <f>E16*1.55</f>
        <v>6975</v>
      </c>
      <c r="M16" s="32">
        <v>0.308176</v>
      </c>
      <c r="N16" s="37">
        <f t="shared" si="1"/>
        <v>2149.5276</v>
      </c>
      <c r="O16" s="37">
        <f t="shared" si="2"/>
        <v>27900</v>
      </c>
      <c r="P16" s="37">
        <f t="shared" si="3"/>
        <v>8598.1104</v>
      </c>
      <c r="Q16" s="85">
        <f t="shared" si="4"/>
        <v>1.00040573476702</v>
      </c>
      <c r="R16" s="81">
        <f t="shared" si="5"/>
        <v>0.93920868938831</v>
      </c>
      <c r="S16" s="82">
        <f t="shared" si="6"/>
        <v>8021.25</v>
      </c>
      <c r="T16" s="83">
        <f t="shared" si="26"/>
        <v>100</v>
      </c>
      <c r="U16" s="82"/>
      <c r="V16" s="84"/>
      <c r="W16" s="32">
        <f t="shared" si="7"/>
        <v>0.28968544</v>
      </c>
      <c r="X16" s="37">
        <f t="shared" si="8"/>
        <v>2323.6393356</v>
      </c>
      <c r="Y16" s="38">
        <f t="shared" si="9"/>
        <v>32085</v>
      </c>
      <c r="Z16" s="38">
        <f t="shared" si="10"/>
        <v>9294.5573424</v>
      </c>
      <c r="AA16" s="81">
        <f t="shared" si="11"/>
        <v>0.869918030232196</v>
      </c>
      <c r="AB16" s="81">
        <f t="shared" si="12"/>
        <v>0.8688332001742</v>
      </c>
      <c r="AC16" s="71"/>
      <c r="AD16" s="71"/>
      <c r="AE16" s="98">
        <f>VLOOKUP(B16,[2]查询时间段分门店销售汇总!$D:$L,9,0)</f>
        <v>19785.64</v>
      </c>
      <c r="AF16" s="98">
        <f>VLOOKUP(B16,[2]查询时间段分门店销售汇总!$D:$M,10,0)</f>
        <v>6050.23</v>
      </c>
      <c r="AG16" s="41">
        <f t="shared" si="13"/>
        <v>6207.75</v>
      </c>
      <c r="AH16" s="28">
        <v>0.31279864</v>
      </c>
      <c r="AI16" s="43">
        <f t="shared" si="14"/>
        <v>1941.77575746</v>
      </c>
      <c r="AJ16" s="43">
        <f t="shared" si="15"/>
        <v>18623.25</v>
      </c>
      <c r="AK16" s="43">
        <f t="shared" si="16"/>
        <v>5825.32727238</v>
      </c>
      <c r="AL16" s="103">
        <f t="shared" si="17"/>
        <v>1.06241606593908</v>
      </c>
      <c r="AM16" s="103">
        <f t="shared" si="18"/>
        <v>1.03860774117986</v>
      </c>
      <c r="AN16" s="43">
        <f t="shared" si="19"/>
        <v>7200.99</v>
      </c>
      <c r="AO16" s="44" t="s">
        <v>40</v>
      </c>
      <c r="AP16" s="28">
        <f t="shared" si="20"/>
        <v>0.3002866944</v>
      </c>
      <c r="AQ16" s="43">
        <f t="shared" si="21"/>
        <v>2162.36148350746</v>
      </c>
      <c r="AR16" s="43">
        <f t="shared" si="22"/>
        <v>21602.97</v>
      </c>
      <c r="AS16" s="43">
        <f t="shared" si="23"/>
        <v>6487.08445052237</v>
      </c>
      <c r="AT16" s="107">
        <f t="shared" si="24"/>
        <v>0.915875918913001</v>
      </c>
      <c r="AU16" s="107">
        <f t="shared" si="25"/>
        <v>0.932657813559496</v>
      </c>
    </row>
    <row r="17" spans="1:48">
      <c r="A17" s="25">
        <v>119</v>
      </c>
      <c r="B17" s="26">
        <v>113833</v>
      </c>
      <c r="C17" s="27" t="s">
        <v>54</v>
      </c>
      <c r="D17" s="26" t="s">
        <v>39</v>
      </c>
      <c r="E17" s="25">
        <v>3400</v>
      </c>
      <c r="F17" s="28">
        <v>0.32</v>
      </c>
      <c r="G17" s="25">
        <f t="shared" si="0"/>
        <v>1088</v>
      </c>
      <c r="H17" s="29">
        <f>VLOOKUP(B17,[3]Sheet2!$A:$C,3,0)</f>
        <v>2</v>
      </c>
      <c r="J17" s="30">
        <f>VLOOKUP(B17,[1]查询时间段分门店销售汇总!$D:$L,9,0)</f>
        <v>21555.35</v>
      </c>
      <c r="K17" s="30">
        <f>VLOOKUP(B17,[1]查询时间段分门店销售汇总!$D:$M,10,0)</f>
        <v>6187.58</v>
      </c>
      <c r="L17" s="31">
        <f>E17*1.6</f>
        <v>5440</v>
      </c>
      <c r="M17" s="32">
        <v>0.2992</v>
      </c>
      <c r="N17" s="37">
        <f t="shared" si="1"/>
        <v>1627.648</v>
      </c>
      <c r="O17" s="37">
        <f t="shared" si="2"/>
        <v>21760</v>
      </c>
      <c r="P17" s="37">
        <f t="shared" si="3"/>
        <v>6510.592</v>
      </c>
      <c r="Q17" s="81">
        <f t="shared" si="4"/>
        <v>0.99059512867647</v>
      </c>
      <c r="R17" s="81">
        <f t="shared" si="5"/>
        <v>0.950386692945895</v>
      </c>
      <c r="S17" s="82">
        <f t="shared" si="6"/>
        <v>6256</v>
      </c>
      <c r="T17" s="83"/>
      <c r="U17" s="82">
        <f>(J17-O17)*0.01</f>
        <v>-2.04650000000001</v>
      </c>
      <c r="V17" s="84">
        <f t="shared" ref="V5:V36" si="27">U17/2</f>
        <v>-1.02325000000001</v>
      </c>
      <c r="W17" s="32">
        <f t="shared" si="7"/>
        <v>0.281248</v>
      </c>
      <c r="X17" s="37">
        <f t="shared" si="8"/>
        <v>1759.487488</v>
      </c>
      <c r="Y17" s="38">
        <f t="shared" si="9"/>
        <v>25024</v>
      </c>
      <c r="Z17" s="38">
        <f t="shared" si="10"/>
        <v>7037.949952</v>
      </c>
      <c r="AA17" s="81">
        <f t="shared" si="11"/>
        <v>0.861387068414322</v>
      </c>
      <c r="AB17" s="81">
        <f t="shared" si="12"/>
        <v>0.879173628997128</v>
      </c>
      <c r="AC17" s="71"/>
      <c r="AD17" s="71"/>
      <c r="AE17" s="98">
        <f>VLOOKUP(B17,[2]查询时间段分门店销售汇总!$D:$L,9,0)</f>
        <v>17925.52</v>
      </c>
      <c r="AF17" s="98">
        <f>VLOOKUP(B17,[2]查询时间段分门店销售汇总!$D:$M,10,0)</f>
        <v>5458.17</v>
      </c>
      <c r="AG17" s="41">
        <f t="shared" si="13"/>
        <v>4841.6</v>
      </c>
      <c r="AH17" s="28">
        <v>0.303688</v>
      </c>
      <c r="AI17" s="43">
        <f t="shared" si="14"/>
        <v>1470.3358208</v>
      </c>
      <c r="AJ17" s="43">
        <f t="shared" si="15"/>
        <v>14524.8</v>
      </c>
      <c r="AK17" s="43">
        <f t="shared" si="16"/>
        <v>4411.0074624</v>
      </c>
      <c r="AL17" s="103">
        <f t="shared" si="17"/>
        <v>1.2341319673937</v>
      </c>
      <c r="AM17" s="103">
        <f t="shared" si="18"/>
        <v>1.23739758921882</v>
      </c>
      <c r="AN17" s="43">
        <f t="shared" si="19"/>
        <v>5616.256</v>
      </c>
      <c r="AP17" s="28">
        <f t="shared" si="20"/>
        <v>0.29154048</v>
      </c>
      <c r="AQ17" s="43">
        <f t="shared" si="21"/>
        <v>1637.36597004288</v>
      </c>
      <c r="AR17" s="43">
        <f t="shared" si="22"/>
        <v>16848.768</v>
      </c>
      <c r="AS17" s="43">
        <f t="shared" si="23"/>
        <v>4912.09791012864</v>
      </c>
      <c r="AT17" s="109">
        <f t="shared" si="24"/>
        <v>1.06390686844284</v>
      </c>
      <c r="AU17" s="109">
        <f t="shared" si="25"/>
        <v>1.11116881215771</v>
      </c>
      <c r="AV17" s="44">
        <f>(AF17-AK17)*0.1</f>
        <v>104.71625376</v>
      </c>
    </row>
    <row r="18" spans="1:47">
      <c r="A18" s="25">
        <v>35</v>
      </c>
      <c r="B18" s="26">
        <v>737</v>
      </c>
      <c r="C18" s="27" t="s">
        <v>55</v>
      </c>
      <c r="D18" s="26" t="s">
        <v>51</v>
      </c>
      <c r="E18" s="25">
        <v>7000</v>
      </c>
      <c r="F18" s="28">
        <v>0.285</v>
      </c>
      <c r="G18" s="25">
        <f t="shared" si="0"/>
        <v>1995</v>
      </c>
      <c r="H18" s="29">
        <f>VLOOKUP(B18,[3]Sheet2!$A:$C,3,0)</f>
        <v>2</v>
      </c>
      <c r="I18" s="25">
        <f>VLOOKUP(B18,[3]实习生!$A:$C,3,0)</f>
        <v>2</v>
      </c>
      <c r="J18" s="30">
        <f>VLOOKUP(B18,[1]查询时间段分门店销售汇总!$D:$L,9,0)</f>
        <v>40099.94</v>
      </c>
      <c r="K18" s="30">
        <f>VLOOKUP(B18,[1]查询时间段分门店销售汇总!$D:$M,10,0)</f>
        <v>7037.7</v>
      </c>
      <c r="L18" s="31">
        <f>E18*1.45</f>
        <v>10150</v>
      </c>
      <c r="M18" s="32">
        <v>0.266475</v>
      </c>
      <c r="N18" s="37">
        <f t="shared" si="1"/>
        <v>2704.72125</v>
      </c>
      <c r="O18" s="37">
        <f t="shared" si="2"/>
        <v>40600</v>
      </c>
      <c r="P18" s="37">
        <f t="shared" si="3"/>
        <v>10818.885</v>
      </c>
      <c r="Q18" s="81">
        <f t="shared" si="4"/>
        <v>0.987683251231527</v>
      </c>
      <c r="R18" s="81">
        <f t="shared" si="5"/>
        <v>0.650501414887024</v>
      </c>
      <c r="S18" s="82">
        <f t="shared" si="6"/>
        <v>11672.5</v>
      </c>
      <c r="T18" s="83"/>
      <c r="U18" s="82">
        <f t="shared" ref="U18:U49" si="28">(J18-O18)*0.01</f>
        <v>-5.00059999999998</v>
      </c>
      <c r="V18" s="84">
        <f t="shared" si="27"/>
        <v>-2.50029999999999</v>
      </c>
      <c r="W18" s="32">
        <f t="shared" si="7"/>
        <v>0.2504865</v>
      </c>
      <c r="X18" s="37">
        <f t="shared" si="8"/>
        <v>2923.80367125</v>
      </c>
      <c r="Y18" s="38">
        <f t="shared" si="9"/>
        <v>46690</v>
      </c>
      <c r="Z18" s="38">
        <f t="shared" si="10"/>
        <v>11695.214685</v>
      </c>
      <c r="AA18" s="81">
        <f t="shared" si="11"/>
        <v>0.858855001070893</v>
      </c>
      <c r="AB18" s="81">
        <f t="shared" si="12"/>
        <v>0.601758940691049</v>
      </c>
      <c r="AC18" s="71"/>
      <c r="AD18" s="71"/>
      <c r="AE18" s="98">
        <f>VLOOKUP(B18,[2]查询时间段分门店销售汇总!$D:$L,9,0)</f>
        <v>24122.11</v>
      </c>
      <c r="AF18" s="98">
        <f>VLOOKUP(B18,[2]查询时间段分门店销售汇总!$D:$M,10,0)</f>
        <v>5689.62</v>
      </c>
      <c r="AG18" s="41">
        <f t="shared" si="13"/>
        <v>9033.5</v>
      </c>
      <c r="AH18" s="28">
        <v>0.270472125</v>
      </c>
      <c r="AI18" s="43">
        <f t="shared" si="14"/>
        <v>2443.3099411875</v>
      </c>
      <c r="AJ18" s="43">
        <f t="shared" si="15"/>
        <v>27100.5</v>
      </c>
      <c r="AK18" s="43">
        <f t="shared" si="16"/>
        <v>7329.9298235625</v>
      </c>
      <c r="AL18" s="28">
        <f t="shared" si="17"/>
        <v>0.890098337669047</v>
      </c>
      <c r="AM18" s="28">
        <f t="shared" si="18"/>
        <v>0.776217526900513</v>
      </c>
      <c r="AN18" s="43">
        <f t="shared" si="19"/>
        <v>10478.86</v>
      </c>
      <c r="AP18" s="28">
        <f t="shared" si="20"/>
        <v>0.25965324</v>
      </c>
      <c r="AQ18" s="43">
        <f t="shared" si="21"/>
        <v>2720.8699505064</v>
      </c>
      <c r="AR18" s="43">
        <f t="shared" si="22"/>
        <v>31436.58</v>
      </c>
      <c r="AS18" s="43">
        <f t="shared" si="23"/>
        <v>8162.6098515192</v>
      </c>
      <c r="AT18" s="107">
        <f t="shared" si="24"/>
        <v>0.767326153162971</v>
      </c>
      <c r="AU18" s="107">
        <f t="shared" si="25"/>
        <v>0.697034417116122</v>
      </c>
    </row>
    <row r="19" spans="1:48">
      <c r="A19" s="25">
        <v>45</v>
      </c>
      <c r="B19" s="26">
        <v>106399</v>
      </c>
      <c r="C19" s="27" t="s">
        <v>56</v>
      </c>
      <c r="D19" s="26" t="s">
        <v>39</v>
      </c>
      <c r="E19" s="25">
        <v>6500</v>
      </c>
      <c r="F19" s="28">
        <v>0.3251</v>
      </c>
      <c r="G19" s="25">
        <f t="shared" si="0"/>
        <v>2113.15</v>
      </c>
      <c r="H19" s="29">
        <f>VLOOKUP(B19,[3]Sheet2!$A:$C,3,0)</f>
        <v>2</v>
      </c>
      <c r="I19" s="25">
        <f>VLOOKUP(B19,[3]实习生!$A:$C,3,0)</f>
        <v>1</v>
      </c>
      <c r="J19" s="30">
        <f>VLOOKUP(B19,[1]查询时间段分门店销售汇总!$D:$L,9,0)</f>
        <v>37021.94</v>
      </c>
      <c r="K19" s="30">
        <f>VLOOKUP(B19,[1]查询时间段分门店销售汇总!$D:$M,10,0)</f>
        <v>10159.71</v>
      </c>
      <c r="L19" s="31">
        <f>E19*1.45</f>
        <v>9425</v>
      </c>
      <c r="M19" s="32">
        <v>0.3039685</v>
      </c>
      <c r="N19" s="37">
        <f t="shared" si="1"/>
        <v>2864.9031125</v>
      </c>
      <c r="O19" s="37">
        <f t="shared" si="2"/>
        <v>37700</v>
      </c>
      <c r="P19" s="37">
        <f t="shared" si="3"/>
        <v>11459.61245</v>
      </c>
      <c r="Q19" s="81">
        <f t="shared" si="4"/>
        <v>0.982014323607427</v>
      </c>
      <c r="R19" s="81">
        <f t="shared" si="5"/>
        <v>0.886566630793871</v>
      </c>
      <c r="S19" s="82">
        <f t="shared" si="6"/>
        <v>10838.75</v>
      </c>
      <c r="T19" s="83"/>
      <c r="U19" s="82">
        <f t="shared" si="28"/>
        <v>-6.78059999999998</v>
      </c>
      <c r="V19" s="84">
        <f t="shared" si="27"/>
        <v>-3.39029999999999</v>
      </c>
      <c r="W19" s="32">
        <f t="shared" si="7"/>
        <v>0.28573039</v>
      </c>
      <c r="X19" s="37">
        <f t="shared" si="8"/>
        <v>3096.9602646125</v>
      </c>
      <c r="Y19" s="38">
        <f t="shared" si="9"/>
        <v>43355</v>
      </c>
      <c r="Z19" s="38">
        <f t="shared" si="10"/>
        <v>12387.84105845</v>
      </c>
      <c r="AA19" s="81">
        <f t="shared" si="11"/>
        <v>0.853925498789067</v>
      </c>
      <c r="AB19" s="81">
        <f t="shared" si="12"/>
        <v>0.820135643657605</v>
      </c>
      <c r="AC19" s="71"/>
      <c r="AD19" s="71"/>
      <c r="AE19" s="98">
        <f>VLOOKUP(B19,[2]查询时间段分门店销售汇总!$D:$L,9,0)</f>
        <v>29238.28</v>
      </c>
      <c r="AF19" s="98">
        <f>VLOOKUP(B19,[2]查询时间段分门店销售汇总!$D:$M,10,0)</f>
        <v>9285.34</v>
      </c>
      <c r="AG19" s="41">
        <f t="shared" si="13"/>
        <v>8388.25</v>
      </c>
      <c r="AH19" s="28">
        <v>0.3085280275</v>
      </c>
      <c r="AI19" s="43">
        <f t="shared" si="14"/>
        <v>2588.01022667688</v>
      </c>
      <c r="AJ19" s="43">
        <f t="shared" si="15"/>
        <v>25164.75</v>
      </c>
      <c r="AK19" s="43">
        <f t="shared" si="16"/>
        <v>7764.03068003063</v>
      </c>
      <c r="AL19" s="103">
        <f t="shared" si="17"/>
        <v>1.16187444739169</v>
      </c>
      <c r="AM19" s="103">
        <f t="shared" si="18"/>
        <v>1.19594323910675</v>
      </c>
      <c r="AN19" s="43">
        <f t="shared" si="19"/>
        <v>9730.37</v>
      </c>
      <c r="AP19" s="28">
        <f t="shared" si="20"/>
        <v>0.2961869064</v>
      </c>
      <c r="AQ19" s="43">
        <f t="shared" si="21"/>
        <v>2882.00818842737</v>
      </c>
      <c r="AR19" s="43">
        <f t="shared" si="22"/>
        <v>29191.11</v>
      </c>
      <c r="AS19" s="43">
        <f t="shared" si="23"/>
        <v>8646.0245652821</v>
      </c>
      <c r="AT19" s="109">
        <f t="shared" si="24"/>
        <v>1.00161590292387</v>
      </c>
      <c r="AU19" s="109">
        <f t="shared" si="25"/>
        <v>1.07394328224385</v>
      </c>
      <c r="AV19" s="44">
        <f>(AF19-AK19)*0.1</f>
        <v>152.130931996937</v>
      </c>
    </row>
    <row r="20" spans="1:47">
      <c r="A20" s="25">
        <v>97</v>
      </c>
      <c r="B20" s="26">
        <v>113299</v>
      </c>
      <c r="C20" s="27" t="s">
        <v>57</v>
      </c>
      <c r="D20" s="26" t="s">
        <v>42</v>
      </c>
      <c r="E20" s="25">
        <v>3800</v>
      </c>
      <c r="F20" s="28">
        <v>0.283</v>
      </c>
      <c r="G20" s="25">
        <f t="shared" si="0"/>
        <v>1075.4</v>
      </c>
      <c r="H20" s="29">
        <f>VLOOKUP(B20,[3]Sheet2!$A:$C,3,0)</f>
        <v>2</v>
      </c>
      <c r="J20" s="30">
        <f>VLOOKUP(B20,[1]查询时间段分门店销售汇总!$D:$L,9,0)</f>
        <v>22913.27</v>
      </c>
      <c r="K20" s="30">
        <f>VLOOKUP(B20,[1]查询时间段分门店销售汇总!$D:$M,10,0)</f>
        <v>5862.85</v>
      </c>
      <c r="L20" s="31">
        <f>E20*1.6</f>
        <v>6080</v>
      </c>
      <c r="M20" s="32">
        <v>0.264605</v>
      </c>
      <c r="N20" s="37">
        <f t="shared" si="1"/>
        <v>1608.7984</v>
      </c>
      <c r="O20" s="37">
        <f t="shared" si="2"/>
        <v>24320</v>
      </c>
      <c r="P20" s="37">
        <f t="shared" si="3"/>
        <v>6435.1936</v>
      </c>
      <c r="Q20" s="81">
        <f t="shared" si="4"/>
        <v>0.942157483552632</v>
      </c>
      <c r="R20" s="81">
        <f t="shared" si="5"/>
        <v>0.911060391407649</v>
      </c>
      <c r="S20" s="82">
        <f t="shared" si="6"/>
        <v>6992</v>
      </c>
      <c r="T20" s="83"/>
      <c r="U20" s="82">
        <f t="shared" si="28"/>
        <v>-14.0673</v>
      </c>
      <c r="V20" s="84">
        <f t="shared" si="27"/>
        <v>-7.03365</v>
      </c>
      <c r="W20" s="32">
        <f t="shared" si="7"/>
        <v>0.2487287</v>
      </c>
      <c r="X20" s="37">
        <f t="shared" si="8"/>
        <v>1739.1110704</v>
      </c>
      <c r="Y20" s="38">
        <f t="shared" si="9"/>
        <v>27968</v>
      </c>
      <c r="Z20" s="38">
        <f t="shared" si="10"/>
        <v>6956.4442816</v>
      </c>
      <c r="AA20" s="81">
        <f t="shared" si="11"/>
        <v>0.819267377002288</v>
      </c>
      <c r="AB20" s="81">
        <f t="shared" si="12"/>
        <v>0.842794071607446</v>
      </c>
      <c r="AC20" s="71"/>
      <c r="AD20" s="71"/>
      <c r="AE20" s="98">
        <f>VLOOKUP(B20,[2]查询时间段分门店销售汇总!$D:$L,9,0)</f>
        <v>8868.61</v>
      </c>
      <c r="AF20" s="98">
        <f>VLOOKUP(B20,[2]查询时间段分门店销售汇总!$D:$M,10,0)</f>
        <v>2709.5</v>
      </c>
      <c r="AG20" s="41">
        <f t="shared" si="13"/>
        <v>5411.2</v>
      </c>
      <c r="AH20" s="28">
        <v>0.268574075</v>
      </c>
      <c r="AI20" s="43">
        <f t="shared" si="14"/>
        <v>1453.30803464</v>
      </c>
      <c r="AJ20" s="43">
        <f t="shared" si="15"/>
        <v>16233.6</v>
      </c>
      <c r="AK20" s="43">
        <f t="shared" si="16"/>
        <v>4359.92410392</v>
      </c>
      <c r="AL20" s="28">
        <f t="shared" si="17"/>
        <v>0.546311970234575</v>
      </c>
      <c r="AM20" s="28">
        <f t="shared" si="18"/>
        <v>0.62145577203142</v>
      </c>
      <c r="AN20" s="43">
        <f t="shared" si="19"/>
        <v>6276.992</v>
      </c>
      <c r="AP20" s="28">
        <f t="shared" si="20"/>
        <v>0.257831112</v>
      </c>
      <c r="AQ20" s="43">
        <f t="shared" si="21"/>
        <v>1618.4038273751</v>
      </c>
      <c r="AR20" s="43">
        <f t="shared" si="22"/>
        <v>18830.976</v>
      </c>
      <c r="AS20" s="43">
        <f t="shared" si="23"/>
        <v>4855.21148212531</v>
      </c>
      <c r="AT20" s="107">
        <f t="shared" si="24"/>
        <v>0.470958595029806</v>
      </c>
      <c r="AU20" s="107">
        <f t="shared" si="25"/>
        <v>0.558060140114422</v>
      </c>
    </row>
    <row r="21" spans="1:47">
      <c r="A21" s="25">
        <v>10</v>
      </c>
      <c r="B21" s="26">
        <v>385</v>
      </c>
      <c r="C21" s="27" t="s">
        <v>58</v>
      </c>
      <c r="D21" s="26" t="s">
        <v>59</v>
      </c>
      <c r="E21" s="25">
        <v>10500</v>
      </c>
      <c r="F21" s="28">
        <v>0.2304</v>
      </c>
      <c r="G21" s="25">
        <f t="shared" si="0"/>
        <v>2419.2</v>
      </c>
      <c r="H21" s="29">
        <f>VLOOKUP(B21,[3]Sheet2!$A:$C,3,0)</f>
        <v>3</v>
      </c>
      <c r="J21" s="30">
        <f>VLOOKUP(B21,[1]查询时间段分门店销售汇总!$D:$L,9,0)</f>
        <v>53387.3</v>
      </c>
      <c r="K21" s="30">
        <f>VLOOKUP(B21,[1]查询时间段分门店销售汇总!$D:$M,10,0)</f>
        <v>12255.51</v>
      </c>
      <c r="L21" s="31">
        <f>E21*1.35</f>
        <v>14175</v>
      </c>
      <c r="M21" s="32">
        <v>0.215424</v>
      </c>
      <c r="N21" s="37">
        <f t="shared" si="1"/>
        <v>3053.6352</v>
      </c>
      <c r="O21" s="37">
        <f t="shared" si="2"/>
        <v>56700</v>
      </c>
      <c r="P21" s="37">
        <f t="shared" si="3"/>
        <v>12214.5408</v>
      </c>
      <c r="Q21" s="81">
        <f t="shared" si="4"/>
        <v>0.941574955908289</v>
      </c>
      <c r="R21" s="81">
        <f t="shared" si="5"/>
        <v>1.00335413346034</v>
      </c>
      <c r="S21" s="82">
        <f t="shared" si="6"/>
        <v>16301.25</v>
      </c>
      <c r="T21" s="83"/>
      <c r="U21" s="82">
        <f t="shared" si="28"/>
        <v>-33.127</v>
      </c>
      <c r="V21" s="84">
        <f t="shared" si="27"/>
        <v>-16.5635</v>
      </c>
      <c r="W21" s="32">
        <f t="shared" si="7"/>
        <v>0.20249856</v>
      </c>
      <c r="X21" s="37">
        <f t="shared" si="8"/>
        <v>3300.9796512</v>
      </c>
      <c r="Y21" s="38">
        <f t="shared" si="9"/>
        <v>65205</v>
      </c>
      <c r="Z21" s="38">
        <f t="shared" si="10"/>
        <v>13203.9186048</v>
      </c>
      <c r="AA21" s="81">
        <f t="shared" si="11"/>
        <v>0.818760831224599</v>
      </c>
      <c r="AB21" s="81">
        <f t="shared" si="12"/>
        <v>0.928172186364794</v>
      </c>
      <c r="AC21" s="71"/>
      <c r="AD21" s="71"/>
      <c r="AE21" s="98">
        <f>VLOOKUP(B21,[2]查询时间段分门店销售汇总!$D:$L,9,0)</f>
        <v>38941.45</v>
      </c>
      <c r="AF21" s="98">
        <f>VLOOKUP(B21,[2]查询时间段分门店销售汇总!$D:$M,10,0)</f>
        <v>9127.1</v>
      </c>
      <c r="AG21" s="41">
        <f t="shared" si="13"/>
        <v>12615.75</v>
      </c>
      <c r="AH21" s="28">
        <v>0.21865536</v>
      </c>
      <c r="AI21" s="43">
        <f t="shared" si="14"/>
        <v>2758.50135792</v>
      </c>
      <c r="AJ21" s="43">
        <f t="shared" si="15"/>
        <v>37847.25</v>
      </c>
      <c r="AK21" s="43">
        <f t="shared" si="16"/>
        <v>8275.50407376</v>
      </c>
      <c r="AL21" s="103">
        <f t="shared" si="17"/>
        <v>1.02891095125802</v>
      </c>
      <c r="AM21" s="103">
        <f t="shared" si="18"/>
        <v>1.10290562588692</v>
      </c>
      <c r="AN21" s="43">
        <f t="shared" si="19"/>
        <v>14634.27</v>
      </c>
      <c r="AO21" s="44" t="s">
        <v>40</v>
      </c>
      <c r="AP21" s="28">
        <f t="shared" si="20"/>
        <v>0.2099091456</v>
      </c>
      <c r="AQ21" s="43">
        <f t="shared" si="21"/>
        <v>3071.86711217971</v>
      </c>
      <c r="AR21" s="43">
        <f t="shared" si="22"/>
        <v>43902.81</v>
      </c>
      <c r="AS21" s="43">
        <f t="shared" si="23"/>
        <v>9215.60133653914</v>
      </c>
      <c r="AT21" s="107">
        <f t="shared" si="24"/>
        <v>0.88699219936036</v>
      </c>
      <c r="AU21" s="107">
        <f t="shared" si="25"/>
        <v>0.990396574970291</v>
      </c>
    </row>
    <row r="22" spans="1:48">
      <c r="A22" s="25">
        <v>69</v>
      </c>
      <c r="B22" s="26">
        <v>717</v>
      </c>
      <c r="C22" s="27" t="s">
        <v>60</v>
      </c>
      <c r="D22" s="26" t="s">
        <v>61</v>
      </c>
      <c r="E22" s="25">
        <v>5000</v>
      </c>
      <c r="F22" s="28">
        <v>0.3312</v>
      </c>
      <c r="G22" s="25">
        <f t="shared" si="0"/>
        <v>1656</v>
      </c>
      <c r="H22" s="29">
        <f>VLOOKUP(B22,[3]Sheet2!$A:$C,3,0)</f>
        <v>2</v>
      </c>
      <c r="J22" s="30">
        <f>VLOOKUP(B22,[1]查询时间段分门店销售汇总!$D:$L,9,0)</f>
        <v>28106.2</v>
      </c>
      <c r="K22" s="30">
        <f>VLOOKUP(B22,[1]查询时间段分门店销售汇总!$D:$M,10,0)</f>
        <v>7404.62</v>
      </c>
      <c r="L22" s="31">
        <f>E22*1.5</f>
        <v>7500</v>
      </c>
      <c r="M22" s="32">
        <v>0.309672</v>
      </c>
      <c r="N22" s="37">
        <f t="shared" si="1"/>
        <v>2322.54</v>
      </c>
      <c r="O22" s="37">
        <f t="shared" si="2"/>
        <v>30000</v>
      </c>
      <c r="P22" s="37">
        <f t="shared" si="3"/>
        <v>9290.16</v>
      </c>
      <c r="Q22" s="81">
        <f t="shared" si="4"/>
        <v>0.936873333333333</v>
      </c>
      <c r="R22" s="81">
        <f t="shared" si="5"/>
        <v>0.797039017627253</v>
      </c>
      <c r="S22" s="82">
        <f t="shared" si="6"/>
        <v>8625</v>
      </c>
      <c r="T22" s="83"/>
      <c r="U22" s="82">
        <f t="shared" si="28"/>
        <v>-18.938</v>
      </c>
      <c r="V22" s="84">
        <f t="shared" si="27"/>
        <v>-9.469</v>
      </c>
      <c r="W22" s="32">
        <f t="shared" si="7"/>
        <v>0.29109168</v>
      </c>
      <c r="X22" s="37">
        <f t="shared" si="8"/>
        <v>2510.66574</v>
      </c>
      <c r="Y22" s="38">
        <f t="shared" si="9"/>
        <v>34500</v>
      </c>
      <c r="Z22" s="38">
        <f t="shared" si="10"/>
        <v>10042.66296</v>
      </c>
      <c r="AA22" s="81">
        <f t="shared" si="11"/>
        <v>0.814672463768116</v>
      </c>
      <c r="AB22" s="81">
        <f t="shared" si="12"/>
        <v>0.737316390034462</v>
      </c>
      <c r="AC22" s="71"/>
      <c r="AD22" s="71"/>
      <c r="AE22" s="98">
        <f>VLOOKUP(B22,[2]查询时间段分门店销售汇总!$D:$L,9,0)</f>
        <v>23248.36</v>
      </c>
      <c r="AF22" s="98">
        <f>VLOOKUP(B22,[2]查询时间段分门店销售汇总!$D:$M,10,0)</f>
        <v>7055.39</v>
      </c>
      <c r="AG22" s="41">
        <f t="shared" si="13"/>
        <v>6675</v>
      </c>
      <c r="AH22" s="28">
        <v>0.31431708</v>
      </c>
      <c r="AI22" s="43">
        <f t="shared" si="14"/>
        <v>2098.066509</v>
      </c>
      <c r="AJ22" s="43">
        <f t="shared" si="15"/>
        <v>20025</v>
      </c>
      <c r="AK22" s="43">
        <f t="shared" si="16"/>
        <v>6294.199527</v>
      </c>
      <c r="AL22" s="103">
        <f t="shared" si="17"/>
        <v>1.16096679151061</v>
      </c>
      <c r="AM22" s="103">
        <f t="shared" si="18"/>
        <v>1.1209352308796</v>
      </c>
      <c r="AN22" s="43">
        <f t="shared" si="19"/>
        <v>7743</v>
      </c>
      <c r="AP22" s="28">
        <f t="shared" si="20"/>
        <v>0.3017443968</v>
      </c>
      <c r="AQ22" s="43">
        <f t="shared" si="21"/>
        <v>2336.4068644224</v>
      </c>
      <c r="AR22" s="43">
        <f t="shared" si="22"/>
        <v>23229</v>
      </c>
      <c r="AS22" s="43">
        <f t="shared" si="23"/>
        <v>7009.2205932672</v>
      </c>
      <c r="AT22" s="109">
        <f t="shared" si="24"/>
        <v>1.00083344095742</v>
      </c>
      <c r="AU22" s="109">
        <f t="shared" si="25"/>
        <v>1.00658695301688</v>
      </c>
      <c r="AV22" s="44">
        <f>(AF22-AK22)*0.1</f>
        <v>76.1190473000001</v>
      </c>
    </row>
    <row r="23" spans="1:47">
      <c r="A23" s="25">
        <v>32</v>
      </c>
      <c r="B23" s="26">
        <v>102934</v>
      </c>
      <c r="C23" s="27" t="s">
        <v>62</v>
      </c>
      <c r="D23" s="26" t="s">
        <v>37</v>
      </c>
      <c r="E23" s="25">
        <v>7400</v>
      </c>
      <c r="F23" s="28">
        <v>0.275</v>
      </c>
      <c r="G23" s="25">
        <f t="shared" si="0"/>
        <v>2035</v>
      </c>
      <c r="H23" s="29">
        <f>VLOOKUP(B23,[3]Sheet2!$A:$C,3,0)</f>
        <v>2</v>
      </c>
      <c r="I23" s="25">
        <f>VLOOKUP(B23,[3]实习生!$A:$C,3,0)</f>
        <v>2</v>
      </c>
      <c r="J23" s="30">
        <f>VLOOKUP(B23,[1]查询时间段分门店销售汇总!$D:$L,9,0)</f>
        <v>39970.43</v>
      </c>
      <c r="K23" s="30">
        <f>VLOOKUP(B23,[1]查询时间段分门店销售汇总!$D:$M,10,0)</f>
        <v>13251.39</v>
      </c>
      <c r="L23" s="31">
        <f>E23*1.45</f>
        <v>10730</v>
      </c>
      <c r="M23" s="32">
        <v>0.257125</v>
      </c>
      <c r="N23" s="37">
        <f t="shared" si="1"/>
        <v>2758.95125</v>
      </c>
      <c r="O23" s="37">
        <f t="shared" si="2"/>
        <v>42920</v>
      </c>
      <c r="P23" s="37">
        <f t="shared" si="3"/>
        <v>11035.805</v>
      </c>
      <c r="Q23" s="81">
        <f t="shared" si="4"/>
        <v>0.931277493010252</v>
      </c>
      <c r="R23" s="81">
        <f t="shared" si="5"/>
        <v>1.20076333353117</v>
      </c>
      <c r="S23" s="82">
        <f t="shared" si="6"/>
        <v>12339.5</v>
      </c>
      <c r="T23" s="83"/>
      <c r="U23" s="82">
        <f t="shared" si="28"/>
        <v>-29.4957</v>
      </c>
      <c r="V23" s="84">
        <f t="shared" si="27"/>
        <v>-14.74785</v>
      </c>
      <c r="W23" s="32">
        <f t="shared" si="7"/>
        <v>0.2416975</v>
      </c>
      <c r="X23" s="37">
        <f t="shared" si="8"/>
        <v>2982.42630125</v>
      </c>
      <c r="Y23" s="38">
        <f t="shared" si="9"/>
        <v>49358</v>
      </c>
      <c r="Z23" s="38">
        <f t="shared" si="10"/>
        <v>11929.705205</v>
      </c>
      <c r="AA23" s="81">
        <f t="shared" si="11"/>
        <v>0.809806515661088</v>
      </c>
      <c r="AB23" s="81">
        <f t="shared" si="12"/>
        <v>1.11078939272079</v>
      </c>
      <c r="AC23" s="71"/>
      <c r="AD23" s="71"/>
      <c r="AE23" s="98">
        <f>VLOOKUP(B23,[2]查询时间段分门店销售汇总!$D:$L,9,0)</f>
        <v>26359.71</v>
      </c>
      <c r="AF23" s="98">
        <f>VLOOKUP(B23,[2]查询时间段分门店销售汇总!$D:$M,10,0)</f>
        <v>7261.32</v>
      </c>
      <c r="AG23" s="41">
        <f t="shared" si="13"/>
        <v>9549.7</v>
      </c>
      <c r="AH23" s="28">
        <v>0.260981875</v>
      </c>
      <c r="AI23" s="43">
        <f t="shared" si="14"/>
        <v>2492.2986116875</v>
      </c>
      <c r="AJ23" s="43">
        <f t="shared" si="15"/>
        <v>28649.1</v>
      </c>
      <c r="AK23" s="43">
        <f t="shared" si="16"/>
        <v>7476.8958350625</v>
      </c>
      <c r="AL23" s="28">
        <f t="shared" si="17"/>
        <v>0.92008858917034</v>
      </c>
      <c r="AM23" s="28">
        <f t="shared" si="18"/>
        <v>0.971167735940419</v>
      </c>
      <c r="AN23" s="43">
        <f t="shared" si="19"/>
        <v>11077.652</v>
      </c>
      <c r="AP23" s="28">
        <f t="shared" si="20"/>
        <v>0.2505426</v>
      </c>
      <c r="AQ23" s="43">
        <f t="shared" si="21"/>
        <v>2775.4237339752</v>
      </c>
      <c r="AR23" s="43">
        <f t="shared" si="22"/>
        <v>33232.956</v>
      </c>
      <c r="AS23" s="43">
        <f t="shared" si="23"/>
        <v>8326.2712019256</v>
      </c>
      <c r="AT23" s="107">
        <f t="shared" si="24"/>
        <v>0.793179818250293</v>
      </c>
      <c r="AU23" s="107">
        <f t="shared" si="25"/>
        <v>0.872097464026957</v>
      </c>
    </row>
    <row r="24" spans="1:47">
      <c r="A24" s="25">
        <v>91</v>
      </c>
      <c r="B24" s="26">
        <v>118151</v>
      </c>
      <c r="C24" s="27" t="s">
        <v>63</v>
      </c>
      <c r="D24" s="26" t="s">
        <v>37</v>
      </c>
      <c r="E24" s="25">
        <v>4000</v>
      </c>
      <c r="F24" s="28">
        <v>0.23</v>
      </c>
      <c r="G24" s="25">
        <f t="shared" si="0"/>
        <v>920</v>
      </c>
      <c r="H24" s="29">
        <f>VLOOKUP(B24,[3]Sheet2!$A:$C,3,0)</f>
        <v>2</v>
      </c>
      <c r="J24" s="30">
        <f>VLOOKUP(B24,[1]查询时间段分门店销售汇总!$D:$L,9,0)</f>
        <v>23045.62</v>
      </c>
      <c r="K24" s="30">
        <f>VLOOKUP(B24,[1]查询时间段分门店销售汇总!$D:$M,10,0)</f>
        <v>5192.49</v>
      </c>
      <c r="L24" s="31">
        <f>E24*1.55</f>
        <v>6200</v>
      </c>
      <c r="M24" s="32">
        <v>0.21505</v>
      </c>
      <c r="N24" s="37">
        <f t="shared" si="1"/>
        <v>1333.31</v>
      </c>
      <c r="O24" s="37">
        <f t="shared" si="2"/>
        <v>24800</v>
      </c>
      <c r="P24" s="37">
        <f t="shared" si="3"/>
        <v>5333.24</v>
      </c>
      <c r="Q24" s="81">
        <f t="shared" si="4"/>
        <v>0.929258870967742</v>
      </c>
      <c r="R24" s="81">
        <f t="shared" si="5"/>
        <v>0.97360891315598</v>
      </c>
      <c r="S24" s="82">
        <f t="shared" si="6"/>
        <v>7130</v>
      </c>
      <c r="T24" s="83"/>
      <c r="U24" s="82">
        <f t="shared" si="28"/>
        <v>-17.5438</v>
      </c>
      <c r="V24" s="84">
        <f t="shared" si="27"/>
        <v>-8.7719</v>
      </c>
      <c r="W24" s="32">
        <f t="shared" si="7"/>
        <v>0.202147</v>
      </c>
      <c r="X24" s="37">
        <f t="shared" si="8"/>
        <v>1441.30811</v>
      </c>
      <c r="Y24" s="38">
        <f t="shared" si="9"/>
        <v>28520</v>
      </c>
      <c r="Z24" s="38">
        <f t="shared" si="10"/>
        <v>5765.23244</v>
      </c>
      <c r="AA24" s="81">
        <f t="shared" si="11"/>
        <v>0.808051192145863</v>
      </c>
      <c r="AB24" s="81">
        <f t="shared" si="12"/>
        <v>0.900655793853821</v>
      </c>
      <c r="AC24" s="71"/>
      <c r="AD24" s="71"/>
      <c r="AE24" s="98">
        <f>VLOOKUP(B24,[2]查询时间段分门店销售汇总!$D:$L,9,0)</f>
        <v>13398.94</v>
      </c>
      <c r="AF24" s="98">
        <f>VLOOKUP(B24,[2]查询时间段分门店销售汇总!$D:$M,10,0)</f>
        <v>3537.31</v>
      </c>
      <c r="AG24" s="41">
        <f t="shared" si="13"/>
        <v>5518</v>
      </c>
      <c r="AH24" s="28">
        <v>0.21827575</v>
      </c>
      <c r="AI24" s="43">
        <f t="shared" si="14"/>
        <v>1204.4455885</v>
      </c>
      <c r="AJ24" s="43">
        <f t="shared" si="15"/>
        <v>16554</v>
      </c>
      <c r="AK24" s="43">
        <f t="shared" si="16"/>
        <v>3613.3367655</v>
      </c>
      <c r="AL24" s="28">
        <f t="shared" si="17"/>
        <v>0.809407998066933</v>
      </c>
      <c r="AM24" s="28">
        <f t="shared" si="18"/>
        <v>0.978959402227354</v>
      </c>
      <c r="AN24" s="43">
        <f t="shared" si="19"/>
        <v>6400.88</v>
      </c>
      <c r="AP24" s="28">
        <f t="shared" si="20"/>
        <v>0.20954472</v>
      </c>
      <c r="AQ24" s="43">
        <f t="shared" si="21"/>
        <v>1341.2706073536</v>
      </c>
      <c r="AR24" s="43">
        <f t="shared" si="22"/>
        <v>19202.64</v>
      </c>
      <c r="AS24" s="43">
        <f t="shared" si="23"/>
        <v>4023.8118220608</v>
      </c>
      <c r="AT24" s="107">
        <f t="shared" si="24"/>
        <v>0.697765515574942</v>
      </c>
      <c r="AU24" s="107">
        <f t="shared" si="25"/>
        <v>0.879094290793242</v>
      </c>
    </row>
    <row r="25" spans="1:47">
      <c r="A25" s="25">
        <v>18</v>
      </c>
      <c r="B25" s="26">
        <v>585</v>
      </c>
      <c r="C25" s="27" t="s">
        <v>64</v>
      </c>
      <c r="D25" s="26" t="s">
        <v>65</v>
      </c>
      <c r="E25" s="25">
        <v>8400</v>
      </c>
      <c r="F25" s="28">
        <v>0.32</v>
      </c>
      <c r="G25" s="25">
        <f t="shared" si="0"/>
        <v>2688</v>
      </c>
      <c r="H25" s="29">
        <f>VLOOKUP(B25,[3]Sheet2!$A:$C,3,0)</f>
        <v>3</v>
      </c>
      <c r="I25" s="25">
        <f>VLOOKUP(B25,[3]实习生!$A:$C,3,0)</f>
        <v>1</v>
      </c>
      <c r="J25" s="30">
        <f>VLOOKUP(B25,[1]查询时间段分门店销售汇总!$D:$L,9,0)</f>
        <v>43640.72</v>
      </c>
      <c r="K25" s="30">
        <f>VLOOKUP(B25,[1]查询时间段分门店销售汇总!$D:$M,10,0)</f>
        <v>12511.69</v>
      </c>
      <c r="L25" s="31">
        <f>E25*1.4</f>
        <v>11760</v>
      </c>
      <c r="M25" s="32">
        <v>0.2992</v>
      </c>
      <c r="N25" s="37">
        <f t="shared" si="1"/>
        <v>3518.592</v>
      </c>
      <c r="O25" s="37">
        <f t="shared" si="2"/>
        <v>47040</v>
      </c>
      <c r="P25" s="37">
        <f t="shared" si="3"/>
        <v>14074.368</v>
      </c>
      <c r="Q25" s="81">
        <f t="shared" si="4"/>
        <v>0.927736394557823</v>
      </c>
      <c r="R25" s="81">
        <f t="shared" si="5"/>
        <v>0.888969934564735</v>
      </c>
      <c r="S25" s="82">
        <f t="shared" si="6"/>
        <v>13524</v>
      </c>
      <c r="T25" s="83"/>
      <c r="U25" s="82">
        <f t="shared" si="28"/>
        <v>-33.9928</v>
      </c>
      <c r="V25" s="84">
        <f t="shared" si="27"/>
        <v>-16.9964</v>
      </c>
      <c r="W25" s="32">
        <f t="shared" si="7"/>
        <v>0.281248</v>
      </c>
      <c r="X25" s="37">
        <f t="shared" si="8"/>
        <v>3803.597952</v>
      </c>
      <c r="Y25" s="38">
        <f t="shared" si="9"/>
        <v>54096</v>
      </c>
      <c r="Z25" s="38">
        <f t="shared" si="10"/>
        <v>15214.391808</v>
      </c>
      <c r="AA25" s="81">
        <f t="shared" si="11"/>
        <v>0.806727299615498</v>
      </c>
      <c r="AB25" s="81">
        <f t="shared" si="12"/>
        <v>0.822358866387359</v>
      </c>
      <c r="AC25" s="71"/>
      <c r="AD25" s="71"/>
      <c r="AE25" s="98">
        <f>VLOOKUP(B25,[2]查询时间段分门店销售汇总!$D:$L,9,0)</f>
        <v>32988.69</v>
      </c>
      <c r="AF25" s="98">
        <f>VLOOKUP(B25,[2]查询时间段分门店销售汇总!$D:$M,10,0)</f>
        <v>9688.58</v>
      </c>
      <c r="AG25" s="41">
        <f t="shared" si="13"/>
        <v>10466.4</v>
      </c>
      <c r="AH25" s="28">
        <v>0.303688</v>
      </c>
      <c r="AI25" s="43">
        <f t="shared" si="14"/>
        <v>3178.5200832</v>
      </c>
      <c r="AJ25" s="43">
        <f t="shared" si="15"/>
        <v>31399.2</v>
      </c>
      <c r="AK25" s="43">
        <f t="shared" si="16"/>
        <v>9535.5602496</v>
      </c>
      <c r="AL25" s="103">
        <f t="shared" si="17"/>
        <v>1.05062199036918</v>
      </c>
      <c r="AM25" s="103">
        <f t="shared" si="18"/>
        <v>1.01604727424447</v>
      </c>
      <c r="AN25" s="43">
        <f t="shared" si="19"/>
        <v>12141.024</v>
      </c>
      <c r="AO25" s="44" t="s">
        <v>40</v>
      </c>
      <c r="AP25" s="28">
        <f t="shared" si="20"/>
        <v>0.29154048</v>
      </c>
      <c r="AQ25" s="43">
        <f t="shared" si="21"/>
        <v>3539.59996465152</v>
      </c>
      <c r="AR25" s="43">
        <f t="shared" si="22"/>
        <v>36423.072</v>
      </c>
      <c r="AS25" s="43">
        <f t="shared" si="23"/>
        <v>10618.7998939546</v>
      </c>
      <c r="AT25" s="107">
        <f t="shared" si="24"/>
        <v>0.905708612387225</v>
      </c>
      <c r="AU25" s="107">
        <f t="shared" si="25"/>
        <v>0.912398773567229</v>
      </c>
    </row>
    <row r="26" spans="1:47">
      <c r="A26" s="25">
        <v>83</v>
      </c>
      <c r="B26" s="26">
        <v>539</v>
      </c>
      <c r="C26" s="27" t="s">
        <v>66</v>
      </c>
      <c r="D26" s="26" t="s">
        <v>61</v>
      </c>
      <c r="E26" s="25">
        <v>4400</v>
      </c>
      <c r="F26" s="28">
        <v>0.2777</v>
      </c>
      <c r="G26" s="25">
        <f t="shared" si="0"/>
        <v>1221.88</v>
      </c>
      <c r="H26" s="29">
        <f>VLOOKUP(B26,[3]Sheet2!$A:$C,3,0)</f>
        <v>2</v>
      </c>
      <c r="J26" s="30">
        <f>VLOOKUP(B26,[1]查询时间段分门店销售汇总!$D:$L,9,0)</f>
        <v>25085.76</v>
      </c>
      <c r="K26" s="30">
        <f>VLOOKUP(B26,[1]查询时间段分门店销售汇总!$D:$M,10,0)</f>
        <v>6829.01</v>
      </c>
      <c r="L26" s="31">
        <f>E26*1.55</f>
        <v>6820</v>
      </c>
      <c r="M26" s="32">
        <v>0.2596495</v>
      </c>
      <c r="N26" s="37">
        <f t="shared" si="1"/>
        <v>1770.80959</v>
      </c>
      <c r="O26" s="37">
        <f t="shared" si="2"/>
        <v>27280</v>
      </c>
      <c r="P26" s="37">
        <f t="shared" si="3"/>
        <v>7083.23836</v>
      </c>
      <c r="Q26" s="81">
        <f t="shared" si="4"/>
        <v>0.919565982404692</v>
      </c>
      <c r="R26" s="81">
        <f t="shared" si="5"/>
        <v>0.964108456177945</v>
      </c>
      <c r="S26" s="82">
        <f t="shared" si="6"/>
        <v>7843</v>
      </c>
      <c r="T26" s="83"/>
      <c r="U26" s="82">
        <f t="shared" si="28"/>
        <v>-21.9424</v>
      </c>
      <c r="V26" s="84">
        <f t="shared" si="27"/>
        <v>-10.9712</v>
      </c>
      <c r="W26" s="32">
        <f t="shared" si="7"/>
        <v>0.24407053</v>
      </c>
      <c r="X26" s="37">
        <f t="shared" si="8"/>
        <v>1914.24516679</v>
      </c>
      <c r="Y26" s="38">
        <f t="shared" si="9"/>
        <v>31372</v>
      </c>
      <c r="Z26" s="38">
        <f t="shared" si="10"/>
        <v>7656.98066716</v>
      </c>
      <c r="AA26" s="81">
        <f t="shared" si="11"/>
        <v>0.799622593395384</v>
      </c>
      <c r="AB26" s="81">
        <f t="shared" si="12"/>
        <v>0.8918672120055</v>
      </c>
      <c r="AC26" s="71"/>
      <c r="AD26" s="71"/>
      <c r="AE26" s="98">
        <f>VLOOKUP(B26,[2]查询时间段分门店销售汇总!$D:$L,9,0)</f>
        <v>16459.92</v>
      </c>
      <c r="AF26" s="98">
        <f>VLOOKUP(B26,[2]查询时间段分门店销售汇总!$D:$M,10,0)</f>
        <v>3718.61</v>
      </c>
      <c r="AG26" s="41">
        <f t="shared" si="13"/>
        <v>6069.8</v>
      </c>
      <c r="AH26" s="28">
        <v>0.2635442425</v>
      </c>
      <c r="AI26" s="43">
        <f t="shared" si="14"/>
        <v>1599.6608431265</v>
      </c>
      <c r="AJ26" s="43">
        <f t="shared" si="15"/>
        <v>18209.4</v>
      </c>
      <c r="AK26" s="43">
        <f t="shared" si="16"/>
        <v>4798.9825293795</v>
      </c>
      <c r="AL26" s="28">
        <f t="shared" si="17"/>
        <v>0.903924346765956</v>
      </c>
      <c r="AM26" s="28">
        <f t="shared" si="18"/>
        <v>0.774874669210519</v>
      </c>
      <c r="AN26" s="43">
        <f t="shared" si="19"/>
        <v>7040.968</v>
      </c>
      <c r="AP26" s="28">
        <f t="shared" si="20"/>
        <v>0.2530024728</v>
      </c>
      <c r="AQ26" s="43">
        <f t="shared" si="21"/>
        <v>1781.38231490567</v>
      </c>
      <c r="AR26" s="43">
        <f t="shared" si="22"/>
        <v>21122.904</v>
      </c>
      <c r="AS26" s="43">
        <f t="shared" si="23"/>
        <v>5344.14694471701</v>
      </c>
      <c r="AT26" s="107">
        <f t="shared" si="24"/>
        <v>0.779245126522376</v>
      </c>
      <c r="AU26" s="107">
        <f t="shared" si="25"/>
        <v>0.695828546345653</v>
      </c>
    </row>
    <row r="27" spans="1:48">
      <c r="A27" s="25">
        <v>128</v>
      </c>
      <c r="B27" s="26">
        <v>119263</v>
      </c>
      <c r="C27" s="27" t="s">
        <v>67</v>
      </c>
      <c r="D27" s="26" t="s">
        <v>39</v>
      </c>
      <c r="E27" s="25">
        <v>3000</v>
      </c>
      <c r="F27" s="28">
        <v>0.26</v>
      </c>
      <c r="G27" s="25">
        <f t="shared" si="0"/>
        <v>780</v>
      </c>
      <c r="H27" s="29">
        <f>VLOOKUP(B27,[3]Sheet2!$A:$C,3,0)</f>
        <v>2</v>
      </c>
      <c r="J27" s="30">
        <f>VLOOKUP(B27,[1]查询时间段分门店销售汇总!$D:$L,9,0)</f>
        <v>17593.86</v>
      </c>
      <c r="K27" s="30">
        <f>VLOOKUP(B27,[1]查询时间段分门店销售汇总!$D:$M,10,0)</f>
        <v>4740.84</v>
      </c>
      <c r="L27" s="31">
        <f>E27*1.6</f>
        <v>4800</v>
      </c>
      <c r="M27" s="32">
        <v>0.2431</v>
      </c>
      <c r="N27" s="37">
        <f t="shared" si="1"/>
        <v>1166.88</v>
      </c>
      <c r="O27" s="37">
        <f t="shared" si="2"/>
        <v>19200</v>
      </c>
      <c r="P27" s="37">
        <f t="shared" si="3"/>
        <v>4667.52</v>
      </c>
      <c r="Q27" s="81">
        <f t="shared" si="4"/>
        <v>0.916346875</v>
      </c>
      <c r="R27" s="81">
        <f t="shared" si="5"/>
        <v>1.01570855614973</v>
      </c>
      <c r="S27" s="82">
        <f t="shared" si="6"/>
        <v>5520</v>
      </c>
      <c r="T27" s="83"/>
      <c r="U27" s="82">
        <f t="shared" si="28"/>
        <v>-16.0614</v>
      </c>
      <c r="V27" s="84">
        <f t="shared" si="27"/>
        <v>-8.0307</v>
      </c>
      <c r="W27" s="32">
        <f t="shared" si="7"/>
        <v>0.228514</v>
      </c>
      <c r="X27" s="37">
        <f t="shared" si="8"/>
        <v>1261.39728</v>
      </c>
      <c r="Y27" s="38">
        <f t="shared" si="9"/>
        <v>22080</v>
      </c>
      <c r="Z27" s="38">
        <f t="shared" si="10"/>
        <v>5045.58912</v>
      </c>
      <c r="AA27" s="81">
        <f t="shared" si="11"/>
        <v>0.796823369565217</v>
      </c>
      <c r="AB27" s="81">
        <f t="shared" si="12"/>
        <v>0.939600884504841</v>
      </c>
      <c r="AC27" s="71"/>
      <c r="AD27" s="71"/>
      <c r="AE27" s="98">
        <f>VLOOKUP(B27,[2]查询时间段分门店销售汇总!$D:$L,9,0)</f>
        <v>14974.77</v>
      </c>
      <c r="AF27" s="98">
        <f>VLOOKUP(B27,[2]查询时间段分门店销售汇总!$D:$M,10,0)</f>
        <v>3802.67</v>
      </c>
      <c r="AG27" s="41">
        <f t="shared" si="13"/>
        <v>4272</v>
      </c>
      <c r="AH27" s="28">
        <v>0.2467465</v>
      </c>
      <c r="AI27" s="43">
        <f t="shared" si="14"/>
        <v>1054.101048</v>
      </c>
      <c r="AJ27" s="43">
        <f t="shared" si="15"/>
        <v>12816</v>
      </c>
      <c r="AK27" s="43">
        <f t="shared" si="16"/>
        <v>3162.303144</v>
      </c>
      <c r="AL27" s="103">
        <f t="shared" si="17"/>
        <v>1.16844335205993</v>
      </c>
      <c r="AM27" s="103">
        <f t="shared" si="18"/>
        <v>1.20250014841714</v>
      </c>
      <c r="AN27" s="43">
        <f t="shared" si="19"/>
        <v>4955.52</v>
      </c>
      <c r="AP27" s="28">
        <f t="shared" si="20"/>
        <v>0.23687664</v>
      </c>
      <c r="AQ27" s="43">
        <f t="shared" si="21"/>
        <v>1173.8469270528</v>
      </c>
      <c r="AR27" s="43">
        <f t="shared" si="22"/>
        <v>14866.56</v>
      </c>
      <c r="AS27" s="43">
        <f t="shared" si="23"/>
        <v>3521.5407811584</v>
      </c>
      <c r="AT27" s="109">
        <f t="shared" si="24"/>
        <v>1.0072787517758</v>
      </c>
      <c r="AU27" s="109">
        <f t="shared" si="25"/>
        <v>1.07983131143781</v>
      </c>
      <c r="AV27" s="44">
        <f>(AF27-AK27)*0.1</f>
        <v>64.0366856</v>
      </c>
    </row>
    <row r="28" spans="1:47">
      <c r="A28" s="25">
        <v>123</v>
      </c>
      <c r="B28" s="26">
        <v>110378</v>
      </c>
      <c r="C28" s="27" t="s">
        <v>68</v>
      </c>
      <c r="D28" s="26" t="s">
        <v>46</v>
      </c>
      <c r="E28" s="25">
        <v>3100</v>
      </c>
      <c r="F28" s="28">
        <v>0.2734</v>
      </c>
      <c r="G28" s="25">
        <f t="shared" si="0"/>
        <v>847.54</v>
      </c>
      <c r="H28" s="29">
        <f>VLOOKUP(B28,[3]Sheet2!$A:$C,3,0)</f>
        <v>2</v>
      </c>
      <c r="J28" s="30">
        <f>VLOOKUP(B28,[1]查询时间段分门店销售汇总!$D:$L,9,0)</f>
        <v>17910.95</v>
      </c>
      <c r="K28" s="30">
        <f>VLOOKUP(B28,[1]查询时间段分门店销售汇总!$D:$M,10,0)</f>
        <v>4933.39</v>
      </c>
      <c r="L28" s="31">
        <f>E28*1.6</f>
        <v>4960</v>
      </c>
      <c r="M28" s="32">
        <v>0.255629</v>
      </c>
      <c r="N28" s="37">
        <f t="shared" si="1"/>
        <v>1267.91984</v>
      </c>
      <c r="O28" s="37">
        <f t="shared" si="2"/>
        <v>19840</v>
      </c>
      <c r="P28" s="37">
        <f t="shared" si="3"/>
        <v>5071.67936</v>
      </c>
      <c r="Q28" s="81">
        <f t="shared" si="4"/>
        <v>0.902769657258065</v>
      </c>
      <c r="R28" s="81">
        <f t="shared" si="5"/>
        <v>0.972733023879491</v>
      </c>
      <c r="S28" s="82">
        <f t="shared" si="6"/>
        <v>5704</v>
      </c>
      <c r="T28" s="83"/>
      <c r="U28" s="82">
        <f t="shared" si="28"/>
        <v>-19.2905</v>
      </c>
      <c r="V28" s="84">
        <f t="shared" si="27"/>
        <v>-9.64525</v>
      </c>
      <c r="W28" s="32">
        <f t="shared" si="7"/>
        <v>0.24029126</v>
      </c>
      <c r="X28" s="37">
        <f t="shared" si="8"/>
        <v>1370.62134704</v>
      </c>
      <c r="Y28" s="38">
        <f t="shared" si="9"/>
        <v>22816</v>
      </c>
      <c r="Z28" s="38">
        <f t="shared" si="10"/>
        <v>5482.48538816</v>
      </c>
      <c r="AA28" s="81">
        <f t="shared" si="11"/>
        <v>0.785017093267882</v>
      </c>
      <c r="AB28" s="81">
        <f t="shared" si="12"/>
        <v>0.899845535503692</v>
      </c>
      <c r="AC28" s="71"/>
      <c r="AD28" s="71"/>
      <c r="AE28" s="98">
        <f>VLOOKUP(B28,[2]查询时间段分门店销售汇总!$D:$L,9,0)</f>
        <v>12196.52</v>
      </c>
      <c r="AF28" s="98">
        <f>VLOOKUP(B28,[2]查询时间段分门店销售汇总!$D:$M,10,0)</f>
        <v>2712.36</v>
      </c>
      <c r="AG28" s="41">
        <f t="shared" si="13"/>
        <v>4414.4</v>
      </c>
      <c r="AH28" s="28">
        <v>0.259463435</v>
      </c>
      <c r="AI28" s="43">
        <f t="shared" si="14"/>
        <v>1145.375387464</v>
      </c>
      <c r="AJ28" s="43">
        <f t="shared" si="15"/>
        <v>13243.2</v>
      </c>
      <c r="AK28" s="43">
        <f t="shared" si="16"/>
        <v>3436.126162392</v>
      </c>
      <c r="AL28" s="28">
        <f t="shared" si="17"/>
        <v>0.920964721517458</v>
      </c>
      <c r="AM28" s="28">
        <f t="shared" si="18"/>
        <v>0.789365661158331</v>
      </c>
      <c r="AN28" s="43">
        <f t="shared" si="19"/>
        <v>5120.704</v>
      </c>
      <c r="AP28" s="28">
        <f t="shared" si="20"/>
        <v>0.2490848976</v>
      </c>
      <c r="AQ28" s="43">
        <f t="shared" si="21"/>
        <v>1275.49003147991</v>
      </c>
      <c r="AR28" s="43">
        <f t="shared" si="22"/>
        <v>15362.112</v>
      </c>
      <c r="AS28" s="43">
        <f t="shared" si="23"/>
        <v>3826.47009443973</v>
      </c>
      <c r="AT28" s="107">
        <f t="shared" si="24"/>
        <v>0.793935104756429</v>
      </c>
      <c r="AU28" s="107">
        <f t="shared" si="25"/>
        <v>0.708841290551662</v>
      </c>
    </row>
    <row r="29" spans="1:47">
      <c r="A29" s="25">
        <v>132</v>
      </c>
      <c r="B29" s="26">
        <v>113298</v>
      </c>
      <c r="C29" s="27" t="s">
        <v>69</v>
      </c>
      <c r="D29" s="26" t="s">
        <v>39</v>
      </c>
      <c r="E29" s="25">
        <v>2800</v>
      </c>
      <c r="F29" s="28">
        <v>0.3269</v>
      </c>
      <c r="G29" s="25">
        <f t="shared" si="0"/>
        <v>915.32</v>
      </c>
      <c r="H29" s="29">
        <f>VLOOKUP(B29,[3]Sheet2!$A:$C,3,0)</f>
        <v>1</v>
      </c>
      <c r="I29" s="25">
        <f>VLOOKUP(B29,[3]实习生!$A:$C,3,0)</f>
        <v>1</v>
      </c>
      <c r="J29" s="30">
        <f>VLOOKUP(B29,[1]查询时间段分门店销售汇总!$D:$L,9,0)</f>
        <v>16147.28</v>
      </c>
      <c r="K29" s="30">
        <f>VLOOKUP(B29,[1]查询时间段分门店销售汇总!$D:$M,10,0)</f>
        <v>3966.42</v>
      </c>
      <c r="L29" s="31">
        <f>E29*1.6</f>
        <v>4480</v>
      </c>
      <c r="M29" s="32">
        <v>0.3056515</v>
      </c>
      <c r="N29" s="37">
        <f t="shared" si="1"/>
        <v>1369.31872</v>
      </c>
      <c r="O29" s="37">
        <f t="shared" si="2"/>
        <v>17920</v>
      </c>
      <c r="P29" s="37">
        <f t="shared" si="3"/>
        <v>5477.27488</v>
      </c>
      <c r="Q29" s="81">
        <f t="shared" si="4"/>
        <v>0.901075892857143</v>
      </c>
      <c r="R29" s="81">
        <f t="shared" si="5"/>
        <v>0.724159383434121</v>
      </c>
      <c r="S29" s="82">
        <f t="shared" si="6"/>
        <v>5152</v>
      </c>
      <c r="T29" s="83"/>
      <c r="U29" s="82">
        <f t="shared" si="28"/>
        <v>-17.7272</v>
      </c>
      <c r="V29" s="84">
        <f t="shared" si="27"/>
        <v>-8.8636</v>
      </c>
      <c r="W29" s="32">
        <f t="shared" si="7"/>
        <v>0.28731241</v>
      </c>
      <c r="X29" s="37">
        <f t="shared" si="8"/>
        <v>1480.23353632</v>
      </c>
      <c r="Y29" s="38">
        <f t="shared" si="9"/>
        <v>20608</v>
      </c>
      <c r="Z29" s="38">
        <f t="shared" si="10"/>
        <v>5920.93414528</v>
      </c>
      <c r="AA29" s="81">
        <f t="shared" si="11"/>
        <v>0.783544254658385</v>
      </c>
      <c r="AB29" s="81">
        <f t="shared" si="12"/>
        <v>0.669897672001962</v>
      </c>
      <c r="AC29" s="71"/>
      <c r="AD29" s="71"/>
      <c r="AE29" s="98">
        <f>VLOOKUP(B29,[2]查询时间段分门店销售汇总!$D:$L,9,0)</f>
        <v>10647.66</v>
      </c>
      <c r="AF29" s="98">
        <f>VLOOKUP(B29,[2]查询时间段分门店销售汇总!$D:$M,10,0)</f>
        <v>2888.04</v>
      </c>
      <c r="AG29" s="41">
        <f t="shared" si="13"/>
        <v>3987.2</v>
      </c>
      <c r="AH29" s="28">
        <v>0.3102362725</v>
      </c>
      <c r="AI29" s="43">
        <f t="shared" si="14"/>
        <v>1236.974065712</v>
      </c>
      <c r="AJ29" s="43">
        <f t="shared" si="15"/>
        <v>11961.6</v>
      </c>
      <c r="AK29" s="43">
        <f t="shared" si="16"/>
        <v>3710.922197136</v>
      </c>
      <c r="AL29" s="28">
        <f t="shared" si="17"/>
        <v>0.89015349117175</v>
      </c>
      <c r="AM29" s="28">
        <f t="shared" si="18"/>
        <v>0.778253988248236</v>
      </c>
      <c r="AN29" s="43">
        <f t="shared" si="19"/>
        <v>4625.152</v>
      </c>
      <c r="AP29" s="28">
        <f t="shared" si="20"/>
        <v>0.2978268216</v>
      </c>
      <c r="AQ29" s="43">
        <f t="shared" si="21"/>
        <v>1377.49431957688</v>
      </c>
      <c r="AR29" s="43">
        <f t="shared" si="22"/>
        <v>13875.456</v>
      </c>
      <c r="AS29" s="43">
        <f t="shared" si="23"/>
        <v>4132.48295873065</v>
      </c>
      <c r="AT29" s="107">
        <f t="shared" si="24"/>
        <v>0.767373699285991</v>
      </c>
      <c r="AU29" s="107">
        <f t="shared" si="25"/>
        <v>0.698863135998775</v>
      </c>
    </row>
    <row r="30" spans="1:47">
      <c r="A30" s="25">
        <v>57</v>
      </c>
      <c r="B30" s="26">
        <v>101453</v>
      </c>
      <c r="C30" s="27" t="s">
        <v>70</v>
      </c>
      <c r="D30" s="26" t="s">
        <v>39</v>
      </c>
      <c r="E30" s="25">
        <v>5800</v>
      </c>
      <c r="F30" s="28">
        <v>0.3357</v>
      </c>
      <c r="G30" s="25">
        <f t="shared" si="0"/>
        <v>1947.06</v>
      </c>
      <c r="H30" s="29">
        <f>VLOOKUP(B30,[3]Sheet2!$A:$C,3,0)</f>
        <v>2</v>
      </c>
      <c r="J30" s="30">
        <f>VLOOKUP(B30,[1]查询时间段分门店销售汇总!$D:$L,9,0)</f>
        <v>31256.02</v>
      </c>
      <c r="K30" s="30">
        <f>VLOOKUP(B30,[1]查询时间段分门店销售汇总!$D:$M,10,0)</f>
        <v>6970.01</v>
      </c>
      <c r="L30" s="31">
        <f>E30*1.5</f>
        <v>8700</v>
      </c>
      <c r="M30" s="32">
        <v>0.3138795</v>
      </c>
      <c r="N30" s="37">
        <f t="shared" si="1"/>
        <v>2730.75165</v>
      </c>
      <c r="O30" s="37">
        <f t="shared" si="2"/>
        <v>34800</v>
      </c>
      <c r="P30" s="37">
        <f t="shared" si="3"/>
        <v>10923.0066</v>
      </c>
      <c r="Q30" s="81">
        <f t="shared" si="4"/>
        <v>0.898161494252874</v>
      </c>
      <c r="R30" s="81">
        <f t="shared" si="5"/>
        <v>0.638103615171303</v>
      </c>
      <c r="S30" s="82">
        <f t="shared" si="6"/>
        <v>10005</v>
      </c>
      <c r="T30" s="83"/>
      <c r="U30" s="82">
        <f t="shared" si="28"/>
        <v>-35.4398</v>
      </c>
      <c r="V30" s="84">
        <f t="shared" si="27"/>
        <v>-17.7199</v>
      </c>
      <c r="W30" s="32">
        <f t="shared" si="7"/>
        <v>0.29504673</v>
      </c>
      <c r="X30" s="37">
        <f t="shared" si="8"/>
        <v>2951.94253365</v>
      </c>
      <c r="Y30" s="38">
        <f t="shared" si="9"/>
        <v>40020</v>
      </c>
      <c r="Z30" s="38">
        <f t="shared" si="10"/>
        <v>11807.7701346</v>
      </c>
      <c r="AA30" s="81">
        <f t="shared" si="11"/>
        <v>0.781009995002499</v>
      </c>
      <c r="AB30" s="81">
        <f t="shared" si="12"/>
        <v>0.59029011579214</v>
      </c>
      <c r="AC30" s="71"/>
      <c r="AD30" s="71"/>
      <c r="AE30" s="98">
        <f>VLOOKUP(B30,[2]查询时间段分门店销售汇总!$D:$L,9,0)</f>
        <v>32410.47</v>
      </c>
      <c r="AF30" s="98">
        <f>VLOOKUP(B30,[2]查询时间段分门店销售汇总!$D:$M,10,0)</f>
        <v>4185.69</v>
      </c>
      <c r="AG30" s="41">
        <f t="shared" si="13"/>
        <v>7743</v>
      </c>
      <c r="AH30" s="28">
        <v>0.3185876925</v>
      </c>
      <c r="AI30" s="43">
        <f t="shared" si="14"/>
        <v>2466.8245030275</v>
      </c>
      <c r="AJ30" s="43">
        <f t="shared" si="15"/>
        <v>23229</v>
      </c>
      <c r="AK30" s="43">
        <f t="shared" si="16"/>
        <v>7400.4735090825</v>
      </c>
      <c r="AL30" s="28">
        <f t="shared" si="17"/>
        <v>1.39525894356193</v>
      </c>
      <c r="AM30" s="28">
        <f t="shared" si="18"/>
        <v>0.565597592486881</v>
      </c>
      <c r="AN30" s="43">
        <f t="shared" si="19"/>
        <v>8981.88</v>
      </c>
      <c r="AP30" s="28">
        <f t="shared" si="20"/>
        <v>0.3058441848</v>
      </c>
      <c r="AQ30" s="43">
        <f t="shared" si="21"/>
        <v>2747.05576657142</v>
      </c>
      <c r="AR30" s="43">
        <f t="shared" si="22"/>
        <v>26945.64</v>
      </c>
      <c r="AS30" s="43">
        <f t="shared" si="23"/>
        <v>8241.16729971427</v>
      </c>
      <c r="AT30" s="107">
        <f t="shared" si="24"/>
        <v>1.20280943410511</v>
      </c>
      <c r="AU30" s="107">
        <f t="shared" si="25"/>
        <v>0.507900136931466</v>
      </c>
    </row>
    <row r="31" spans="1:47">
      <c r="A31" s="25">
        <v>33</v>
      </c>
      <c r="B31" s="26">
        <v>111400</v>
      </c>
      <c r="C31" s="27" t="s">
        <v>71</v>
      </c>
      <c r="D31" s="26" t="s">
        <v>61</v>
      </c>
      <c r="E31" s="25">
        <v>7200</v>
      </c>
      <c r="F31" s="28">
        <v>0.25</v>
      </c>
      <c r="G31" s="25">
        <f t="shared" si="0"/>
        <v>1800</v>
      </c>
      <c r="H31" s="29">
        <f>VLOOKUP(B31,[3]Sheet2!$A:$C,3,0)</f>
        <v>3</v>
      </c>
      <c r="J31" s="30">
        <f>VLOOKUP(B31,[1]查询时间段分门店销售汇总!$D:$L,9,0)</f>
        <v>37101.55</v>
      </c>
      <c r="K31" s="30">
        <f>VLOOKUP(B31,[1]查询时间段分门店销售汇总!$D:$M,10,0)</f>
        <v>6589.8</v>
      </c>
      <c r="L31" s="31">
        <f>E31*1.45</f>
        <v>10440</v>
      </c>
      <c r="M31" s="32">
        <v>0.23375</v>
      </c>
      <c r="N31" s="37">
        <f t="shared" si="1"/>
        <v>2440.35</v>
      </c>
      <c r="O31" s="37">
        <f t="shared" si="2"/>
        <v>41760</v>
      </c>
      <c r="P31" s="37">
        <f t="shared" si="3"/>
        <v>9761.4</v>
      </c>
      <c r="Q31" s="81">
        <f t="shared" si="4"/>
        <v>0.888447078544061</v>
      </c>
      <c r="R31" s="81">
        <f t="shared" si="5"/>
        <v>0.675087589894892</v>
      </c>
      <c r="S31" s="82">
        <f t="shared" si="6"/>
        <v>12006</v>
      </c>
      <c r="T31" s="83"/>
      <c r="U31" s="82">
        <f t="shared" si="28"/>
        <v>-46.5845</v>
      </c>
      <c r="V31" s="84">
        <f t="shared" si="27"/>
        <v>-23.29225</v>
      </c>
      <c r="W31" s="32">
        <f t="shared" si="7"/>
        <v>0.219725</v>
      </c>
      <c r="X31" s="37">
        <f t="shared" si="8"/>
        <v>2638.01835</v>
      </c>
      <c r="Y31" s="38">
        <f t="shared" si="9"/>
        <v>48024</v>
      </c>
      <c r="Z31" s="38">
        <f t="shared" si="10"/>
        <v>10552.0734</v>
      </c>
      <c r="AA31" s="81">
        <f t="shared" si="11"/>
        <v>0.772562676994836</v>
      </c>
      <c r="AB31" s="81">
        <f t="shared" si="12"/>
        <v>0.624502858367153</v>
      </c>
      <c r="AC31" s="71"/>
      <c r="AD31" s="71"/>
      <c r="AE31" s="98">
        <f>VLOOKUP(B31,[2]查询时间段分门店销售汇总!$D:$L,9,0)</f>
        <v>27409.03</v>
      </c>
      <c r="AF31" s="98">
        <f>VLOOKUP(B31,[2]查询时间段分门店销售汇总!$D:$M,10,0)</f>
        <v>5639.5</v>
      </c>
      <c r="AG31" s="41">
        <f t="shared" si="13"/>
        <v>9291.6</v>
      </c>
      <c r="AH31" s="28">
        <v>0.23725625</v>
      </c>
      <c r="AI31" s="43">
        <f t="shared" si="14"/>
        <v>2204.4901725</v>
      </c>
      <c r="AJ31" s="43">
        <f t="shared" si="15"/>
        <v>27874.8</v>
      </c>
      <c r="AK31" s="43">
        <f t="shared" si="16"/>
        <v>6613.4705175</v>
      </c>
      <c r="AL31" s="28">
        <f t="shared" si="17"/>
        <v>0.983290642444071</v>
      </c>
      <c r="AM31" s="28">
        <f t="shared" si="18"/>
        <v>0.852729287153732</v>
      </c>
      <c r="AN31" s="43">
        <f t="shared" si="19"/>
        <v>10778.256</v>
      </c>
      <c r="AP31" s="28">
        <f t="shared" si="20"/>
        <v>0.227766</v>
      </c>
      <c r="AQ31" s="43">
        <f t="shared" si="21"/>
        <v>2454.920256096</v>
      </c>
      <c r="AR31" s="43">
        <f t="shared" si="22"/>
        <v>32334.768</v>
      </c>
      <c r="AS31" s="43">
        <f t="shared" si="23"/>
        <v>7364.760768288</v>
      </c>
      <c r="AT31" s="107">
        <f t="shared" si="24"/>
        <v>0.847664346934544</v>
      </c>
      <c r="AU31" s="107">
        <f t="shared" si="25"/>
        <v>0.765741098377992</v>
      </c>
    </row>
    <row r="32" spans="1:47">
      <c r="A32" s="25">
        <v>95</v>
      </c>
      <c r="B32" s="26">
        <v>102564</v>
      </c>
      <c r="C32" s="27" t="s">
        <v>72</v>
      </c>
      <c r="D32" s="26" t="s">
        <v>61</v>
      </c>
      <c r="E32" s="25">
        <v>3800</v>
      </c>
      <c r="F32" s="28">
        <v>0.3002</v>
      </c>
      <c r="G32" s="25">
        <f t="shared" si="0"/>
        <v>1140.76</v>
      </c>
      <c r="H32" s="29">
        <f>VLOOKUP(B32,[3]Sheet2!$A:$C,3,0)</f>
        <v>2</v>
      </c>
      <c r="J32" s="30">
        <f>VLOOKUP(B32,[1]查询时间段分门店销售汇总!$D:$L,9,0)</f>
        <v>21503.98</v>
      </c>
      <c r="K32" s="30">
        <f>VLOOKUP(B32,[1]查询时间段分门店销售汇总!$D:$M,10,0)</f>
        <v>5351.87</v>
      </c>
      <c r="L32" s="31">
        <f>E32*1.6</f>
        <v>6080</v>
      </c>
      <c r="M32" s="32">
        <v>0.280687</v>
      </c>
      <c r="N32" s="37">
        <f t="shared" si="1"/>
        <v>1706.57696</v>
      </c>
      <c r="O32" s="37">
        <f t="shared" si="2"/>
        <v>24320</v>
      </c>
      <c r="P32" s="37">
        <f t="shared" si="3"/>
        <v>6826.30784</v>
      </c>
      <c r="Q32" s="81">
        <f t="shared" si="4"/>
        <v>0.884209703947368</v>
      </c>
      <c r="R32" s="81">
        <f t="shared" si="5"/>
        <v>0.784006541375081</v>
      </c>
      <c r="S32" s="82">
        <f t="shared" si="6"/>
        <v>6992</v>
      </c>
      <c r="T32" s="83"/>
      <c r="U32" s="82">
        <f t="shared" si="28"/>
        <v>-28.1602</v>
      </c>
      <c r="V32" s="84">
        <f t="shared" si="27"/>
        <v>-14.0801</v>
      </c>
      <c r="W32" s="32">
        <f t="shared" si="7"/>
        <v>0.26384578</v>
      </c>
      <c r="X32" s="37">
        <f t="shared" si="8"/>
        <v>1844.80969376</v>
      </c>
      <c r="Y32" s="38">
        <f t="shared" si="9"/>
        <v>27968</v>
      </c>
      <c r="Z32" s="38">
        <f t="shared" si="10"/>
        <v>7379.23877504</v>
      </c>
      <c r="AA32" s="81">
        <f t="shared" si="11"/>
        <v>0.768878003432494</v>
      </c>
      <c r="AB32" s="81">
        <f t="shared" si="12"/>
        <v>0.725260445305348</v>
      </c>
      <c r="AC32" s="71"/>
      <c r="AD32" s="71"/>
      <c r="AE32" s="98">
        <f>VLOOKUP(B32,[2]查询时间段分门店销售汇总!$D:$L,9,0)</f>
        <v>13002.51</v>
      </c>
      <c r="AF32" s="98">
        <f>VLOOKUP(B32,[2]查询时间段分门店销售汇总!$D:$M,10,0)</f>
        <v>3817.52</v>
      </c>
      <c r="AG32" s="41">
        <f t="shared" si="13"/>
        <v>5411.2</v>
      </c>
      <c r="AH32" s="28">
        <v>0.284897305</v>
      </c>
      <c r="AI32" s="43">
        <f t="shared" si="14"/>
        <v>1541.636296816</v>
      </c>
      <c r="AJ32" s="43">
        <f t="shared" si="15"/>
        <v>16233.6</v>
      </c>
      <c r="AK32" s="43">
        <f t="shared" si="16"/>
        <v>4624.908890448</v>
      </c>
      <c r="AL32" s="28">
        <f t="shared" si="17"/>
        <v>0.800962817859255</v>
      </c>
      <c r="AM32" s="28">
        <f t="shared" si="18"/>
        <v>0.825425990095604</v>
      </c>
      <c r="AN32" s="43">
        <f t="shared" si="19"/>
        <v>6276.992</v>
      </c>
      <c r="AP32" s="28">
        <f t="shared" si="20"/>
        <v>0.2735014128</v>
      </c>
      <c r="AQ32" s="43">
        <f t="shared" si="21"/>
        <v>1716.7661801343</v>
      </c>
      <c r="AR32" s="43">
        <f t="shared" si="22"/>
        <v>18830.976</v>
      </c>
      <c r="AS32" s="43">
        <f t="shared" si="23"/>
        <v>5150.29854040289</v>
      </c>
      <c r="AT32" s="107">
        <f t="shared" si="24"/>
        <v>0.690485187809703</v>
      </c>
      <c r="AU32" s="107">
        <f t="shared" si="25"/>
        <v>0.741223051450794</v>
      </c>
    </row>
    <row r="33" spans="1:47">
      <c r="A33" s="25">
        <v>3</v>
      </c>
      <c r="B33" s="26">
        <v>114685</v>
      </c>
      <c r="C33" s="27" t="s">
        <v>73</v>
      </c>
      <c r="D33" s="26" t="s">
        <v>42</v>
      </c>
      <c r="E33" s="25">
        <v>29000</v>
      </c>
      <c r="F33" s="28">
        <v>0.2</v>
      </c>
      <c r="G33" s="25">
        <f t="shared" si="0"/>
        <v>5800</v>
      </c>
      <c r="H33" s="29">
        <f>VLOOKUP(B33,[3]Sheet2!$A:$C,3,0)</f>
        <v>4</v>
      </c>
      <c r="I33" s="25">
        <f>VLOOKUP(B33,[3]实习生!$A:$C,3,0)</f>
        <v>1</v>
      </c>
      <c r="J33" s="30">
        <f>VLOOKUP(B33,[1]查询时间段分门店销售汇总!$D:$L,9,0)</f>
        <v>127640.77</v>
      </c>
      <c r="K33" s="30">
        <f>VLOOKUP(B33,[1]查询时间段分门店销售汇总!$D:$M,10,0)</f>
        <v>19858.04</v>
      </c>
      <c r="L33" s="31">
        <f>E33*1.25</f>
        <v>36250</v>
      </c>
      <c r="M33" s="32">
        <v>0.187</v>
      </c>
      <c r="N33" s="37">
        <f t="shared" si="1"/>
        <v>6778.75</v>
      </c>
      <c r="O33" s="37">
        <f t="shared" si="2"/>
        <v>145000</v>
      </c>
      <c r="P33" s="37">
        <f t="shared" si="3"/>
        <v>27115</v>
      </c>
      <c r="Q33" s="81">
        <f t="shared" si="4"/>
        <v>0.880281172413793</v>
      </c>
      <c r="R33" s="81">
        <f t="shared" si="5"/>
        <v>0.732363636363636</v>
      </c>
      <c r="S33" s="82">
        <f t="shared" si="6"/>
        <v>41687.5</v>
      </c>
      <c r="T33" s="83"/>
      <c r="U33" s="82">
        <f t="shared" si="28"/>
        <v>-173.5923</v>
      </c>
      <c r="V33" s="84">
        <f t="shared" si="27"/>
        <v>-86.79615</v>
      </c>
      <c r="W33" s="32">
        <f t="shared" si="7"/>
        <v>0.17578</v>
      </c>
      <c r="X33" s="37">
        <f t="shared" si="8"/>
        <v>7327.82875</v>
      </c>
      <c r="Y33" s="38">
        <f t="shared" si="9"/>
        <v>166750</v>
      </c>
      <c r="Z33" s="38">
        <f t="shared" si="10"/>
        <v>29311.315</v>
      </c>
      <c r="AA33" s="81">
        <f t="shared" si="11"/>
        <v>0.765461889055472</v>
      </c>
      <c r="AB33" s="81">
        <f t="shared" si="12"/>
        <v>0.677487175174502</v>
      </c>
      <c r="AC33" s="71"/>
      <c r="AD33" s="71"/>
      <c r="AE33" s="98">
        <f>VLOOKUP(B33,[2]查询时间段分门店销售汇总!$D:$L,9,0)</f>
        <v>48913.41</v>
      </c>
      <c r="AF33" s="98">
        <f>VLOOKUP(B33,[2]查询时间段分门店销售汇总!$D:$M,10,0)</f>
        <v>6620.61</v>
      </c>
      <c r="AG33" s="41">
        <f t="shared" si="13"/>
        <v>32262.5</v>
      </c>
      <c r="AH33" s="28">
        <v>0.189805</v>
      </c>
      <c r="AI33" s="43">
        <f t="shared" si="14"/>
        <v>6123.5838125</v>
      </c>
      <c r="AJ33" s="43">
        <f t="shared" si="15"/>
        <v>96787.5</v>
      </c>
      <c r="AK33" s="43">
        <f t="shared" si="16"/>
        <v>18370.7514375</v>
      </c>
      <c r="AL33" s="28">
        <f t="shared" si="17"/>
        <v>0.505369081751259</v>
      </c>
      <c r="AM33" s="28">
        <f t="shared" si="18"/>
        <v>0.360388633122836</v>
      </c>
      <c r="AN33" s="43">
        <f t="shared" si="19"/>
        <v>37424.5</v>
      </c>
      <c r="AP33" s="28">
        <f t="shared" si="20"/>
        <v>0.1822128</v>
      </c>
      <c r="AQ33" s="43">
        <f t="shared" si="21"/>
        <v>6819.2229336</v>
      </c>
      <c r="AR33" s="43">
        <f t="shared" si="22"/>
        <v>112273.5</v>
      </c>
      <c r="AS33" s="43">
        <f t="shared" si="23"/>
        <v>20457.6688008</v>
      </c>
      <c r="AT33" s="107">
        <f t="shared" si="24"/>
        <v>0.435663001509706</v>
      </c>
      <c r="AU33" s="107">
        <f t="shared" si="25"/>
        <v>0.323624850146225</v>
      </c>
    </row>
    <row r="34" spans="1:48">
      <c r="A34" s="25">
        <v>49</v>
      </c>
      <c r="B34" s="26">
        <v>118074</v>
      </c>
      <c r="C34" s="27" t="s">
        <v>74</v>
      </c>
      <c r="D34" s="26" t="s">
        <v>51</v>
      </c>
      <c r="E34" s="25">
        <v>6000</v>
      </c>
      <c r="F34" s="28">
        <v>0.2964</v>
      </c>
      <c r="G34" s="25">
        <f t="shared" si="0"/>
        <v>1778.4</v>
      </c>
      <c r="H34" s="29">
        <f>VLOOKUP(B34,[3]Sheet2!$A:$C,3,0)</f>
        <v>2</v>
      </c>
      <c r="I34" s="25">
        <f>VLOOKUP(B34,[3]实习生!$A:$C,3,0)</f>
        <v>1</v>
      </c>
      <c r="J34" s="30">
        <f>VLOOKUP(B34,[1]查询时间段分门店销售汇总!$D:$L,9,0)</f>
        <v>30622.29</v>
      </c>
      <c r="K34" s="30">
        <f>VLOOKUP(B34,[1]查询时间段分门店销售汇总!$D:$M,10,0)</f>
        <v>10467.18</v>
      </c>
      <c r="L34" s="31">
        <f>E34*1.45</f>
        <v>8700</v>
      </c>
      <c r="M34" s="32">
        <v>0.277134</v>
      </c>
      <c r="N34" s="37">
        <f t="shared" si="1"/>
        <v>2411.0658</v>
      </c>
      <c r="O34" s="37">
        <f t="shared" si="2"/>
        <v>34800</v>
      </c>
      <c r="P34" s="37">
        <f t="shared" si="3"/>
        <v>9644.2632</v>
      </c>
      <c r="Q34" s="81">
        <f t="shared" si="4"/>
        <v>0.879950862068966</v>
      </c>
      <c r="R34" s="81">
        <f t="shared" si="5"/>
        <v>1.08532707817431</v>
      </c>
      <c r="S34" s="82">
        <f t="shared" si="6"/>
        <v>10005</v>
      </c>
      <c r="T34" s="83"/>
      <c r="U34" s="82">
        <f t="shared" si="28"/>
        <v>-41.7771</v>
      </c>
      <c r="V34" s="84">
        <f t="shared" si="27"/>
        <v>-20.88855</v>
      </c>
      <c r="W34" s="32">
        <f t="shared" si="7"/>
        <v>0.26050596</v>
      </c>
      <c r="X34" s="37">
        <f t="shared" si="8"/>
        <v>2606.3621298</v>
      </c>
      <c r="Y34" s="38">
        <f t="shared" si="9"/>
        <v>40020</v>
      </c>
      <c r="Z34" s="38">
        <f t="shared" si="10"/>
        <v>10425.4485192</v>
      </c>
      <c r="AA34" s="81">
        <f t="shared" si="11"/>
        <v>0.765174662668666</v>
      </c>
      <c r="AB34" s="81">
        <f t="shared" si="12"/>
        <v>1.0040028475248</v>
      </c>
      <c r="AC34" s="71"/>
      <c r="AD34" s="71"/>
      <c r="AE34" s="98">
        <f>VLOOKUP(B34,[2]查询时间段分门店销售汇总!$D:$L,9,0)</f>
        <v>40414.66</v>
      </c>
      <c r="AF34" s="98">
        <f>VLOOKUP(B34,[2]查询时间段分门店销售汇总!$D:$M,10,0)</f>
        <v>12008.51</v>
      </c>
      <c r="AG34" s="41">
        <f t="shared" si="13"/>
        <v>7743</v>
      </c>
      <c r="AH34" s="28">
        <v>0.28129101</v>
      </c>
      <c r="AI34" s="43">
        <f t="shared" si="14"/>
        <v>2178.03629043</v>
      </c>
      <c r="AJ34" s="43">
        <f t="shared" si="15"/>
        <v>23229</v>
      </c>
      <c r="AK34" s="43">
        <f t="shared" si="16"/>
        <v>6534.10887129</v>
      </c>
      <c r="AL34" s="103">
        <f t="shared" si="17"/>
        <v>1.73983641138232</v>
      </c>
      <c r="AM34" s="103">
        <f t="shared" si="18"/>
        <v>1.8378190869705</v>
      </c>
      <c r="AN34" s="43">
        <f t="shared" si="19"/>
        <v>8981.88</v>
      </c>
      <c r="AP34" s="28">
        <f t="shared" si="20"/>
        <v>0.2700393696</v>
      </c>
      <c r="AQ34" s="43">
        <f t="shared" si="21"/>
        <v>2425.46121302285</v>
      </c>
      <c r="AR34" s="43">
        <f t="shared" si="22"/>
        <v>26945.64</v>
      </c>
      <c r="AS34" s="43">
        <f t="shared" si="23"/>
        <v>7276.38363906854</v>
      </c>
      <c r="AT34" s="109">
        <f t="shared" si="24"/>
        <v>1.49985897532959</v>
      </c>
      <c r="AU34" s="109">
        <f t="shared" si="25"/>
        <v>1.65034041574218</v>
      </c>
      <c r="AV34" s="44">
        <f>(AF34-AK34)*0.1</f>
        <v>547.440112871</v>
      </c>
    </row>
    <row r="35" spans="1:47">
      <c r="A35" s="25">
        <v>21</v>
      </c>
      <c r="B35" s="26">
        <v>107658</v>
      </c>
      <c r="C35" s="27" t="s">
        <v>75</v>
      </c>
      <c r="D35" s="26" t="s">
        <v>65</v>
      </c>
      <c r="E35" s="25">
        <v>8200</v>
      </c>
      <c r="F35" s="28">
        <v>0.2722</v>
      </c>
      <c r="G35" s="25">
        <f t="shared" si="0"/>
        <v>2232.04</v>
      </c>
      <c r="H35" s="29">
        <f>VLOOKUP(B35,[3]Sheet2!$A:$C,3,0)</f>
        <v>3</v>
      </c>
      <c r="I35" s="25">
        <f>VLOOKUP(B35,[3]实习生!$A:$C,3,0)</f>
        <v>1</v>
      </c>
      <c r="J35" s="30">
        <f>VLOOKUP(B35,[1]查询时间段分门店销售汇总!$D:$L,9,0)</f>
        <v>40183.99</v>
      </c>
      <c r="K35" s="30">
        <f>VLOOKUP(B35,[1]查询时间段分门店销售汇总!$D:$M,10,0)</f>
        <v>11560.7</v>
      </c>
      <c r="L35" s="31">
        <f>E35*1.4</f>
        <v>11480</v>
      </c>
      <c r="M35" s="32">
        <v>0.254507</v>
      </c>
      <c r="N35" s="37">
        <f t="shared" si="1"/>
        <v>2921.74036</v>
      </c>
      <c r="O35" s="37">
        <f t="shared" si="2"/>
        <v>45920</v>
      </c>
      <c r="P35" s="37">
        <f t="shared" si="3"/>
        <v>11686.96144</v>
      </c>
      <c r="Q35" s="81">
        <f t="shared" si="4"/>
        <v>0.875086890243902</v>
      </c>
      <c r="R35" s="81">
        <f t="shared" si="5"/>
        <v>0.989196384308426</v>
      </c>
      <c r="S35" s="82">
        <f t="shared" si="6"/>
        <v>13202</v>
      </c>
      <c r="T35" s="83"/>
      <c r="U35" s="82">
        <f t="shared" si="28"/>
        <v>-57.3601</v>
      </c>
      <c r="V35" s="84">
        <f t="shared" si="27"/>
        <v>-28.68005</v>
      </c>
      <c r="W35" s="32">
        <f t="shared" si="7"/>
        <v>0.23923658</v>
      </c>
      <c r="X35" s="37">
        <f t="shared" si="8"/>
        <v>3158.40132916</v>
      </c>
      <c r="Y35" s="38">
        <f t="shared" si="9"/>
        <v>52808</v>
      </c>
      <c r="Z35" s="38">
        <f t="shared" si="10"/>
        <v>12633.60531664</v>
      </c>
      <c r="AA35" s="81">
        <f t="shared" si="11"/>
        <v>0.760945121951219</v>
      </c>
      <c r="AB35" s="81">
        <f t="shared" si="12"/>
        <v>0.915075286131754</v>
      </c>
      <c r="AC35" s="71"/>
      <c r="AD35" s="71"/>
      <c r="AE35" s="98">
        <f>VLOOKUP(B35,[2]查询时间段分门店销售汇总!$D:$L,9,0)</f>
        <v>33153.17</v>
      </c>
      <c r="AF35" s="98">
        <f>VLOOKUP(B35,[2]查询时间段分门店销售汇总!$D:$M,10,0)</f>
        <v>9527.61</v>
      </c>
      <c r="AG35" s="41">
        <f t="shared" si="13"/>
        <v>10217.2</v>
      </c>
      <c r="AH35" s="28">
        <v>0.258324605</v>
      </c>
      <c r="AI35" s="43">
        <f t="shared" si="14"/>
        <v>2639.354154206</v>
      </c>
      <c r="AJ35" s="43">
        <f t="shared" si="15"/>
        <v>30651.6</v>
      </c>
      <c r="AK35" s="43">
        <f t="shared" si="16"/>
        <v>7918.062462618</v>
      </c>
      <c r="AL35" s="103">
        <f t="shared" si="17"/>
        <v>1.08161303161988</v>
      </c>
      <c r="AM35" s="103">
        <f t="shared" si="18"/>
        <v>1.20327542817209</v>
      </c>
      <c r="AN35" s="43">
        <f t="shared" si="19"/>
        <v>11851.952</v>
      </c>
      <c r="AO35" s="44" t="s">
        <v>40</v>
      </c>
      <c r="AP35" s="28">
        <f t="shared" si="20"/>
        <v>0.2479916208</v>
      </c>
      <c r="AQ35" s="43">
        <f t="shared" si="21"/>
        <v>2939.1847861238</v>
      </c>
      <c r="AR35" s="43">
        <f t="shared" si="22"/>
        <v>35555.856</v>
      </c>
      <c r="AS35" s="43">
        <f t="shared" si="23"/>
        <v>8817.5543583714</v>
      </c>
      <c r="AT35" s="107">
        <f t="shared" si="24"/>
        <v>0.93242502725852</v>
      </c>
      <c r="AU35" s="107">
        <f t="shared" si="25"/>
        <v>1.08052750374649</v>
      </c>
    </row>
    <row r="36" spans="1:47">
      <c r="A36" s="25">
        <v>115</v>
      </c>
      <c r="B36" s="26">
        <v>549</v>
      </c>
      <c r="C36" s="27" t="s">
        <v>76</v>
      </c>
      <c r="D36" s="26" t="s">
        <v>61</v>
      </c>
      <c r="E36" s="25">
        <v>3400</v>
      </c>
      <c r="F36" s="28">
        <v>0.2936</v>
      </c>
      <c r="G36" s="25">
        <f t="shared" si="0"/>
        <v>998.24</v>
      </c>
      <c r="H36" s="29">
        <f>VLOOKUP(B36,[3]Sheet2!$A:$C,3,0)</f>
        <v>2</v>
      </c>
      <c r="J36" s="30">
        <f>VLOOKUP(B36,[1]查询时间段分门店销售汇总!$D:$L,9,0)</f>
        <v>19020.24</v>
      </c>
      <c r="K36" s="30">
        <f>VLOOKUP(B36,[1]查询时间段分门店销售汇总!$D:$M,10,0)</f>
        <v>5164.91</v>
      </c>
      <c r="L36" s="31">
        <f>E36*1.6</f>
        <v>5440</v>
      </c>
      <c r="M36" s="32">
        <v>0.274516</v>
      </c>
      <c r="N36" s="37">
        <f t="shared" si="1"/>
        <v>1493.36704</v>
      </c>
      <c r="O36" s="37">
        <f t="shared" si="2"/>
        <v>21760</v>
      </c>
      <c r="P36" s="37">
        <f t="shared" si="3"/>
        <v>5973.46816</v>
      </c>
      <c r="Q36" s="81">
        <f t="shared" si="4"/>
        <v>0.874091911764706</v>
      </c>
      <c r="R36" s="81">
        <f t="shared" si="5"/>
        <v>0.86464175612179</v>
      </c>
      <c r="S36" s="82">
        <f t="shared" si="6"/>
        <v>6256</v>
      </c>
      <c r="T36" s="83"/>
      <c r="U36" s="82">
        <f t="shared" si="28"/>
        <v>-27.3976</v>
      </c>
      <c r="V36" s="84">
        <f t="shared" si="27"/>
        <v>-13.6988</v>
      </c>
      <c r="W36" s="32">
        <f t="shared" si="7"/>
        <v>0.25804504</v>
      </c>
      <c r="X36" s="37">
        <f t="shared" si="8"/>
        <v>1614.32977024</v>
      </c>
      <c r="Y36" s="38">
        <f t="shared" si="9"/>
        <v>25024</v>
      </c>
      <c r="Z36" s="38">
        <f t="shared" si="10"/>
        <v>6457.31908096</v>
      </c>
      <c r="AA36" s="81">
        <f t="shared" si="11"/>
        <v>0.760079923273657</v>
      </c>
      <c r="AB36" s="81">
        <f t="shared" si="12"/>
        <v>0.799853613433664</v>
      </c>
      <c r="AC36" s="71"/>
      <c r="AD36" s="71"/>
      <c r="AE36" s="98">
        <f>VLOOKUP(B36,[2]查询时间段分门店销售汇总!$D:$L,9,0)</f>
        <v>13529.88</v>
      </c>
      <c r="AF36" s="98">
        <f>VLOOKUP(B36,[2]查询时间段分门店销售汇总!$D:$M,10,0)</f>
        <v>3853.93</v>
      </c>
      <c r="AG36" s="41">
        <f t="shared" si="13"/>
        <v>4841.6</v>
      </c>
      <c r="AH36" s="28">
        <v>0.27863374</v>
      </c>
      <c r="AI36" s="43">
        <f t="shared" si="14"/>
        <v>1349.033115584</v>
      </c>
      <c r="AJ36" s="43">
        <f t="shared" si="15"/>
        <v>14524.8</v>
      </c>
      <c r="AK36" s="43">
        <f t="shared" si="16"/>
        <v>4047.099346752</v>
      </c>
      <c r="AL36" s="28">
        <f t="shared" si="17"/>
        <v>0.931501982815598</v>
      </c>
      <c r="AM36" s="28">
        <f t="shared" si="18"/>
        <v>0.952269680034658</v>
      </c>
      <c r="AN36" s="43">
        <f t="shared" si="19"/>
        <v>5616.256</v>
      </c>
      <c r="AP36" s="28">
        <f t="shared" si="20"/>
        <v>0.2674883904</v>
      </c>
      <c r="AQ36" s="43">
        <f t="shared" si="21"/>
        <v>1502.28327751434</v>
      </c>
      <c r="AR36" s="43">
        <f t="shared" si="22"/>
        <v>16848.768</v>
      </c>
      <c r="AS36" s="43">
        <f t="shared" si="23"/>
        <v>4506.84983254303</v>
      </c>
      <c r="AT36" s="107">
        <f t="shared" si="24"/>
        <v>0.803018950703102</v>
      </c>
      <c r="AU36" s="107">
        <f t="shared" si="25"/>
        <v>0.855127227042616</v>
      </c>
    </row>
    <row r="37" spans="1:47">
      <c r="A37" s="25">
        <v>61</v>
      </c>
      <c r="B37" s="26">
        <v>120844</v>
      </c>
      <c r="C37" s="27" t="s">
        <v>77</v>
      </c>
      <c r="D37" s="26" t="s">
        <v>65</v>
      </c>
      <c r="E37" s="25">
        <v>5500</v>
      </c>
      <c r="F37" s="28">
        <v>0.22</v>
      </c>
      <c r="G37" s="25">
        <f t="shared" si="0"/>
        <v>1210</v>
      </c>
      <c r="H37" s="29">
        <f>VLOOKUP(B37,[3]Sheet2!$A:$C,3,0)</f>
        <v>3</v>
      </c>
      <c r="J37" s="30">
        <f>VLOOKUP(B37,[1]查询时间段分门店销售汇总!$D:$L,9,0)</f>
        <v>28820.95</v>
      </c>
      <c r="K37" s="30">
        <f>VLOOKUP(B37,[1]查询时间段分门店销售汇总!$D:$M,10,0)</f>
        <v>5875.12</v>
      </c>
      <c r="L37" s="31">
        <f>E37*1.5</f>
        <v>8250</v>
      </c>
      <c r="M37" s="32">
        <v>0.2057</v>
      </c>
      <c r="N37" s="37">
        <f t="shared" si="1"/>
        <v>1697.025</v>
      </c>
      <c r="O37" s="37">
        <f t="shared" si="2"/>
        <v>33000</v>
      </c>
      <c r="P37" s="37">
        <f t="shared" si="3"/>
        <v>6788.1</v>
      </c>
      <c r="Q37" s="81">
        <f t="shared" si="4"/>
        <v>0.873362121212121</v>
      </c>
      <c r="R37" s="81">
        <f t="shared" si="5"/>
        <v>0.865502865308407</v>
      </c>
      <c r="S37" s="82">
        <f t="shared" si="6"/>
        <v>9487.5</v>
      </c>
      <c r="T37" s="83"/>
      <c r="U37" s="82">
        <f t="shared" si="28"/>
        <v>-41.7905</v>
      </c>
      <c r="V37" s="84">
        <f t="shared" ref="V37:V68" si="29">U37/2</f>
        <v>-20.89525</v>
      </c>
      <c r="W37" s="32">
        <f t="shared" si="7"/>
        <v>0.193358</v>
      </c>
      <c r="X37" s="37">
        <f t="shared" si="8"/>
        <v>1834.484025</v>
      </c>
      <c r="Y37" s="38">
        <f t="shared" si="9"/>
        <v>37950</v>
      </c>
      <c r="Z37" s="38">
        <f t="shared" si="10"/>
        <v>7337.9361</v>
      </c>
      <c r="AA37" s="81">
        <f t="shared" si="11"/>
        <v>0.759445322793149</v>
      </c>
      <c r="AB37" s="81">
        <f t="shared" si="12"/>
        <v>0.800650199175215</v>
      </c>
      <c r="AC37" s="71"/>
      <c r="AD37" s="71"/>
      <c r="AE37" s="98">
        <f>VLOOKUP(B37,[2]查询时间段分门店销售汇总!$D:$L,9,0)</f>
        <v>19901.68</v>
      </c>
      <c r="AF37" s="98">
        <f>VLOOKUP(B37,[2]查询时间段分门店销售汇总!$D:$M,10,0)</f>
        <v>4290.71</v>
      </c>
      <c r="AG37" s="41">
        <f t="shared" si="13"/>
        <v>7342.5</v>
      </c>
      <c r="AH37" s="28">
        <v>0.2087855</v>
      </c>
      <c r="AI37" s="43">
        <f t="shared" si="14"/>
        <v>1533.00753375</v>
      </c>
      <c r="AJ37" s="43">
        <f t="shared" si="15"/>
        <v>22027.5</v>
      </c>
      <c r="AK37" s="43">
        <f t="shared" si="16"/>
        <v>4599.02260125</v>
      </c>
      <c r="AL37" s="28">
        <f t="shared" si="17"/>
        <v>0.903492452616048</v>
      </c>
      <c r="AM37" s="28">
        <f t="shared" si="18"/>
        <v>0.93296127721438</v>
      </c>
      <c r="AN37" s="43">
        <f t="shared" si="19"/>
        <v>8517.3</v>
      </c>
      <c r="AP37" s="28">
        <f t="shared" si="20"/>
        <v>0.20043408</v>
      </c>
      <c r="AQ37" s="43">
        <f t="shared" si="21"/>
        <v>1707.157189584</v>
      </c>
      <c r="AR37" s="43">
        <f t="shared" si="22"/>
        <v>25551.9</v>
      </c>
      <c r="AS37" s="43">
        <f t="shared" si="23"/>
        <v>5121.471568752</v>
      </c>
      <c r="AT37" s="107">
        <f t="shared" si="24"/>
        <v>0.778872803979352</v>
      </c>
      <c r="AU37" s="107">
        <f t="shared" si="25"/>
        <v>0.837788503245672</v>
      </c>
    </row>
    <row r="38" spans="1:47">
      <c r="A38" s="25">
        <v>122</v>
      </c>
      <c r="B38" s="26">
        <v>102567</v>
      </c>
      <c r="C38" s="27" t="s">
        <v>78</v>
      </c>
      <c r="D38" s="26" t="s">
        <v>59</v>
      </c>
      <c r="E38" s="25">
        <v>3300</v>
      </c>
      <c r="F38" s="28">
        <v>0.284</v>
      </c>
      <c r="G38" s="25">
        <f t="shared" si="0"/>
        <v>937.2</v>
      </c>
      <c r="H38" s="29">
        <f>VLOOKUP(B38,[3]Sheet2!$A:$C,3,0)</f>
        <v>2</v>
      </c>
      <c r="J38" s="30">
        <f>VLOOKUP(B38,[1]查询时间段分门店销售汇总!$D:$L,9,0)</f>
        <v>18360.28</v>
      </c>
      <c r="K38" s="30">
        <f>VLOOKUP(B38,[1]查询时间段分门店销售汇总!$D:$M,10,0)</f>
        <v>5016.59</v>
      </c>
      <c r="L38" s="31">
        <f>E38*1.6</f>
        <v>5280</v>
      </c>
      <c r="M38" s="32">
        <v>0.26554</v>
      </c>
      <c r="N38" s="37">
        <f t="shared" si="1"/>
        <v>1402.0512</v>
      </c>
      <c r="O38" s="37">
        <f t="shared" si="2"/>
        <v>21120</v>
      </c>
      <c r="P38" s="37">
        <f t="shared" si="3"/>
        <v>5608.2048</v>
      </c>
      <c r="Q38" s="81">
        <f t="shared" si="4"/>
        <v>0.869331439393939</v>
      </c>
      <c r="R38" s="81">
        <f t="shared" si="5"/>
        <v>0.894509059298262</v>
      </c>
      <c r="S38" s="82">
        <f t="shared" si="6"/>
        <v>6072</v>
      </c>
      <c r="T38" s="83"/>
      <c r="U38" s="82">
        <f t="shared" si="28"/>
        <v>-27.5972</v>
      </c>
      <c r="V38" s="84">
        <f t="shared" si="29"/>
        <v>-13.7986</v>
      </c>
      <c r="W38" s="32">
        <f t="shared" si="7"/>
        <v>0.2496076</v>
      </c>
      <c r="X38" s="37">
        <f t="shared" si="8"/>
        <v>1515.6173472</v>
      </c>
      <c r="Y38" s="38">
        <f t="shared" si="9"/>
        <v>24288</v>
      </c>
      <c r="Z38" s="38">
        <f t="shared" si="10"/>
        <v>6062.4693888</v>
      </c>
      <c r="AA38" s="81">
        <f t="shared" si="11"/>
        <v>0.755940382081686</v>
      </c>
      <c r="AB38" s="81">
        <f t="shared" si="12"/>
        <v>0.827482941071473</v>
      </c>
      <c r="AC38" s="71"/>
      <c r="AD38" s="71"/>
      <c r="AE38" s="98">
        <f>VLOOKUP(B38,[2]查询时间段分门店销售汇总!$D:$L,9,0)</f>
        <v>10244.68</v>
      </c>
      <c r="AF38" s="98">
        <f>VLOOKUP(B38,[2]查询时间段分门店销售汇总!$D:$M,10,0)</f>
        <v>2808.4</v>
      </c>
      <c r="AG38" s="41">
        <f t="shared" si="13"/>
        <v>4699.2</v>
      </c>
      <c r="AH38" s="28">
        <v>0.2695231</v>
      </c>
      <c r="AI38" s="43">
        <f t="shared" si="14"/>
        <v>1266.54295152</v>
      </c>
      <c r="AJ38" s="43">
        <f t="shared" si="15"/>
        <v>14097.6</v>
      </c>
      <c r="AK38" s="43">
        <f t="shared" si="16"/>
        <v>3799.62885456</v>
      </c>
      <c r="AL38" s="28">
        <f t="shared" si="17"/>
        <v>0.726696742707979</v>
      </c>
      <c r="AM38" s="28">
        <f t="shared" si="18"/>
        <v>0.739124821791368</v>
      </c>
      <c r="AN38" s="43">
        <f t="shared" si="19"/>
        <v>5451.072</v>
      </c>
      <c r="AP38" s="28">
        <f t="shared" si="20"/>
        <v>0.258742176</v>
      </c>
      <c r="AQ38" s="43">
        <f t="shared" si="21"/>
        <v>1410.42223081267</v>
      </c>
      <c r="AR38" s="43">
        <f t="shared" si="22"/>
        <v>16353.216</v>
      </c>
      <c r="AS38" s="43">
        <f t="shared" si="23"/>
        <v>4231.26669243802</v>
      </c>
      <c r="AT38" s="107">
        <f t="shared" si="24"/>
        <v>0.626462709231016</v>
      </c>
      <c r="AU38" s="107">
        <f t="shared" si="25"/>
        <v>0.663725594281041</v>
      </c>
    </row>
    <row r="39" spans="1:47">
      <c r="A39" s="25">
        <v>27</v>
      </c>
      <c r="B39" s="26">
        <v>357</v>
      </c>
      <c r="C39" s="27" t="s">
        <v>79</v>
      </c>
      <c r="D39" s="26" t="s">
        <v>37</v>
      </c>
      <c r="E39" s="25">
        <v>7500</v>
      </c>
      <c r="F39" s="28">
        <v>0.2915</v>
      </c>
      <c r="G39" s="25">
        <f t="shared" si="0"/>
        <v>2186.25</v>
      </c>
      <c r="H39" s="29">
        <f>VLOOKUP(B39,[3]Sheet2!$A:$C,3,0)</f>
        <v>3</v>
      </c>
      <c r="I39" s="25">
        <f>VLOOKUP(B39,[3]实习生!$A:$C,3,0)</f>
        <v>1</v>
      </c>
      <c r="J39" s="30">
        <f>VLOOKUP(B39,[1]查询时间段分门店销售汇总!$D:$L,9,0)</f>
        <v>37577.29</v>
      </c>
      <c r="K39" s="30">
        <f>VLOOKUP(B39,[1]查询时间段分门店销售汇总!$D:$M,10,0)</f>
        <v>11103.86</v>
      </c>
      <c r="L39" s="31">
        <f>E39*1.45</f>
        <v>10875</v>
      </c>
      <c r="M39" s="32">
        <v>0.2725525</v>
      </c>
      <c r="N39" s="37">
        <f t="shared" si="1"/>
        <v>2964.0084375</v>
      </c>
      <c r="O39" s="37">
        <f t="shared" si="2"/>
        <v>43500</v>
      </c>
      <c r="P39" s="37">
        <f t="shared" si="3"/>
        <v>11856.03375</v>
      </c>
      <c r="Q39" s="81">
        <f t="shared" si="4"/>
        <v>0.863845747126437</v>
      </c>
      <c r="R39" s="81">
        <f t="shared" si="5"/>
        <v>0.936557725301684</v>
      </c>
      <c r="S39" s="82">
        <f t="shared" si="6"/>
        <v>12506.25</v>
      </c>
      <c r="T39" s="83"/>
      <c r="U39" s="82">
        <f t="shared" si="28"/>
        <v>-59.2271</v>
      </c>
      <c r="V39" s="84">
        <f t="shared" si="29"/>
        <v>-29.61355</v>
      </c>
      <c r="W39" s="32">
        <f t="shared" si="7"/>
        <v>0.25619935</v>
      </c>
      <c r="X39" s="37">
        <f t="shared" si="8"/>
        <v>3204.0931209375</v>
      </c>
      <c r="Y39" s="38">
        <f t="shared" si="9"/>
        <v>50025</v>
      </c>
      <c r="Z39" s="38">
        <f t="shared" si="10"/>
        <v>12816.37248375</v>
      </c>
      <c r="AA39" s="81">
        <f t="shared" si="11"/>
        <v>0.751170214892554</v>
      </c>
      <c r="AB39" s="81">
        <f t="shared" si="12"/>
        <v>0.866380874469643</v>
      </c>
      <c r="AC39" s="71"/>
      <c r="AD39" s="71"/>
      <c r="AE39" s="98">
        <f>VLOOKUP(B39,[2]查询时间段分门店销售汇总!$D:$L,9,0)</f>
        <v>29163.28</v>
      </c>
      <c r="AF39" s="98">
        <f>VLOOKUP(B39,[2]查询时间段分门店销售汇总!$D:$M,10,0)</f>
        <v>7923.28</v>
      </c>
      <c r="AG39" s="41">
        <f t="shared" si="13"/>
        <v>9678.75</v>
      </c>
      <c r="AH39" s="28">
        <v>0.2766407875</v>
      </c>
      <c r="AI39" s="43">
        <f t="shared" si="14"/>
        <v>2677.53702201562</v>
      </c>
      <c r="AJ39" s="43">
        <f t="shared" si="15"/>
        <v>29036.25</v>
      </c>
      <c r="AK39" s="43">
        <f t="shared" si="16"/>
        <v>8032.61106604687</v>
      </c>
      <c r="AL39" s="28">
        <f t="shared" si="17"/>
        <v>1.0043748762323</v>
      </c>
      <c r="AM39" s="28">
        <f t="shared" si="18"/>
        <v>0.986389099989043</v>
      </c>
      <c r="AN39" s="43">
        <f t="shared" si="19"/>
        <v>11227.35</v>
      </c>
      <c r="AP39" s="28">
        <f t="shared" si="20"/>
        <v>0.265575156</v>
      </c>
      <c r="AQ39" s="43">
        <f t="shared" si="21"/>
        <v>2981.7052277166</v>
      </c>
      <c r="AR39" s="43">
        <f t="shared" si="22"/>
        <v>33682.05</v>
      </c>
      <c r="AS39" s="43">
        <f t="shared" si="23"/>
        <v>8945.1156831498</v>
      </c>
      <c r="AT39" s="107">
        <f t="shared" si="24"/>
        <v>0.865840410545083</v>
      </c>
      <c r="AU39" s="107">
        <f t="shared" si="25"/>
        <v>0.885766073984413</v>
      </c>
    </row>
    <row r="40" spans="1:47">
      <c r="A40" s="25">
        <v>7</v>
      </c>
      <c r="B40" s="26">
        <v>343</v>
      </c>
      <c r="C40" s="27" t="s">
        <v>80</v>
      </c>
      <c r="D40" s="26" t="s">
        <v>37</v>
      </c>
      <c r="E40" s="25">
        <v>16000</v>
      </c>
      <c r="F40" s="28">
        <v>0.3079</v>
      </c>
      <c r="G40" s="25">
        <f t="shared" si="0"/>
        <v>4926.4</v>
      </c>
      <c r="H40" s="29">
        <f>VLOOKUP(B40,[3]Sheet2!$A:$C,3,0)</f>
        <v>4</v>
      </c>
      <c r="I40" s="25">
        <f>VLOOKUP(B40,[3]实习生!$A:$C,3,0)</f>
        <v>1</v>
      </c>
      <c r="J40" s="30">
        <f>VLOOKUP(B40,[1]查询时间段分门店销售汇总!$D:$L,9,0)</f>
        <v>74601.32</v>
      </c>
      <c r="K40" s="30">
        <f>VLOOKUP(B40,[1]查询时间段分门店销售汇总!$D:$M,10,0)</f>
        <v>20153.38</v>
      </c>
      <c r="L40" s="31">
        <f>E40*1.35</f>
        <v>21600</v>
      </c>
      <c r="M40" s="32">
        <v>0.2878865</v>
      </c>
      <c r="N40" s="37">
        <f t="shared" si="1"/>
        <v>6218.3484</v>
      </c>
      <c r="O40" s="37">
        <f t="shared" si="2"/>
        <v>86400</v>
      </c>
      <c r="P40" s="37">
        <f t="shared" si="3"/>
        <v>24873.3936</v>
      </c>
      <c r="Q40" s="81">
        <f t="shared" si="4"/>
        <v>0.863441203703704</v>
      </c>
      <c r="R40" s="81">
        <f t="shared" si="5"/>
        <v>0.810238454956946</v>
      </c>
      <c r="S40" s="82">
        <f t="shared" si="6"/>
        <v>24840</v>
      </c>
      <c r="T40" s="83"/>
      <c r="U40" s="82">
        <f t="shared" si="28"/>
        <v>-117.9868</v>
      </c>
      <c r="V40" s="84">
        <f t="shared" si="29"/>
        <v>-58.9934</v>
      </c>
      <c r="W40" s="32">
        <f t="shared" si="7"/>
        <v>0.27061331</v>
      </c>
      <c r="X40" s="37">
        <f t="shared" si="8"/>
        <v>6722.0346204</v>
      </c>
      <c r="Y40" s="38">
        <f t="shared" si="9"/>
        <v>99360</v>
      </c>
      <c r="Z40" s="38">
        <f t="shared" si="10"/>
        <v>26888.1384816</v>
      </c>
      <c r="AA40" s="81">
        <f t="shared" si="11"/>
        <v>0.750818438003221</v>
      </c>
      <c r="AB40" s="81">
        <f t="shared" si="12"/>
        <v>0.749526785344076</v>
      </c>
      <c r="AC40" s="71"/>
      <c r="AD40" s="71"/>
      <c r="AE40" s="98">
        <f>VLOOKUP(B40,[2]查询时间段分门店销售汇总!$D:$L,9,0)</f>
        <v>60662.2</v>
      </c>
      <c r="AF40" s="98">
        <f>VLOOKUP(B40,[2]查询时间段分门店销售汇总!$D:$M,10,0)</f>
        <v>15101.99</v>
      </c>
      <c r="AG40" s="41">
        <f t="shared" si="13"/>
        <v>19224</v>
      </c>
      <c r="AH40" s="28">
        <v>0.2922047975</v>
      </c>
      <c r="AI40" s="43">
        <f t="shared" si="14"/>
        <v>5617.34502714</v>
      </c>
      <c r="AJ40" s="43">
        <f t="shared" si="15"/>
        <v>57672</v>
      </c>
      <c r="AK40" s="43">
        <f t="shared" si="16"/>
        <v>16852.03508142</v>
      </c>
      <c r="AL40" s="28">
        <f t="shared" si="17"/>
        <v>1.05184838396449</v>
      </c>
      <c r="AM40" s="28">
        <f t="shared" si="18"/>
        <v>0.896152300124898</v>
      </c>
      <c r="AN40" s="43">
        <f t="shared" si="19"/>
        <v>22299.84</v>
      </c>
      <c r="AP40" s="28">
        <f t="shared" si="20"/>
        <v>0.2805166056</v>
      </c>
      <c r="AQ40" s="43">
        <f t="shared" si="21"/>
        <v>6255.4754222231</v>
      </c>
      <c r="AR40" s="43">
        <f t="shared" si="22"/>
        <v>66899.52</v>
      </c>
      <c r="AS40" s="43">
        <f t="shared" si="23"/>
        <v>18766.4262666693</v>
      </c>
      <c r="AT40" s="107">
        <f t="shared" si="24"/>
        <v>0.906765848245249</v>
      </c>
      <c r="AU40" s="107">
        <f t="shared" si="25"/>
        <v>0.804734464911008</v>
      </c>
    </row>
    <row r="41" spans="1:47">
      <c r="A41" s="25">
        <v>23</v>
      </c>
      <c r="B41" s="26">
        <v>511</v>
      </c>
      <c r="C41" s="27" t="s">
        <v>81</v>
      </c>
      <c r="D41" s="26" t="s">
        <v>42</v>
      </c>
      <c r="E41" s="25">
        <v>7800</v>
      </c>
      <c r="F41" s="28">
        <v>0.316</v>
      </c>
      <c r="G41" s="25">
        <f t="shared" si="0"/>
        <v>2464.8</v>
      </c>
      <c r="H41" s="29">
        <f>VLOOKUP(B41,[3]Sheet2!$A:$C,3,0)</f>
        <v>3</v>
      </c>
      <c r="I41" s="25">
        <f>VLOOKUP(B41,[3]实习生!$A:$C,3,0)</f>
        <v>1</v>
      </c>
      <c r="J41" s="30">
        <f>VLOOKUP(B41,[1]查询时间段分门店销售汇总!$D:$L,9,0)</f>
        <v>38841.36</v>
      </c>
      <c r="K41" s="30">
        <f>VLOOKUP(B41,[1]查询时间段分门店销售汇总!$D:$M,10,0)</f>
        <v>11027.14</v>
      </c>
      <c r="L41" s="31">
        <f>E41*1.45</f>
        <v>11310</v>
      </c>
      <c r="M41" s="32">
        <v>0.29546</v>
      </c>
      <c r="N41" s="37">
        <f t="shared" si="1"/>
        <v>3341.6526</v>
      </c>
      <c r="O41" s="37">
        <f t="shared" si="2"/>
        <v>45240</v>
      </c>
      <c r="P41" s="37">
        <f t="shared" si="3"/>
        <v>13366.6104</v>
      </c>
      <c r="Q41" s="81">
        <f t="shared" si="4"/>
        <v>0.858562334217507</v>
      </c>
      <c r="R41" s="81">
        <f t="shared" si="5"/>
        <v>0.824976540050872</v>
      </c>
      <c r="S41" s="82">
        <f t="shared" si="6"/>
        <v>13006.5</v>
      </c>
      <c r="T41" s="83"/>
      <c r="U41" s="82">
        <f t="shared" si="28"/>
        <v>-63.9864</v>
      </c>
      <c r="V41" s="84">
        <f t="shared" si="29"/>
        <v>-31.9932</v>
      </c>
      <c r="W41" s="32">
        <f t="shared" si="7"/>
        <v>0.2777324</v>
      </c>
      <c r="X41" s="37">
        <f t="shared" si="8"/>
        <v>3612.3264606</v>
      </c>
      <c r="Y41" s="38">
        <f t="shared" si="9"/>
        <v>52026</v>
      </c>
      <c r="Z41" s="38">
        <f t="shared" si="10"/>
        <v>14449.3058424</v>
      </c>
      <c r="AA41" s="81">
        <f t="shared" si="11"/>
        <v>0.746575942797832</v>
      </c>
      <c r="AB41" s="81">
        <f t="shared" si="12"/>
        <v>0.763160536587301</v>
      </c>
      <c r="AC41" s="71"/>
      <c r="AD41" s="71"/>
      <c r="AE41" s="98">
        <f>VLOOKUP(B41,[2]查询时间段分门店销售汇总!$D:$L,9,0)</f>
        <v>28888.95</v>
      </c>
      <c r="AF41" s="98">
        <f>VLOOKUP(B41,[2]查询时间段分门店销售汇总!$D:$M,10,0)</f>
        <v>9200.11</v>
      </c>
      <c r="AG41" s="41">
        <f t="shared" si="13"/>
        <v>10065.9</v>
      </c>
      <c r="AH41" s="28">
        <v>0.2998919</v>
      </c>
      <c r="AI41" s="43">
        <f t="shared" si="14"/>
        <v>3018.68187621</v>
      </c>
      <c r="AJ41" s="43">
        <f t="shared" si="15"/>
        <v>30197.7</v>
      </c>
      <c r="AK41" s="43">
        <f t="shared" si="16"/>
        <v>9056.04562863</v>
      </c>
      <c r="AL41" s="28">
        <f t="shared" si="17"/>
        <v>0.95666060660249</v>
      </c>
      <c r="AM41" s="28">
        <f t="shared" si="18"/>
        <v>1.0159080880638</v>
      </c>
      <c r="AN41" s="43">
        <f t="shared" si="19"/>
        <v>11676.444</v>
      </c>
      <c r="AP41" s="28">
        <f t="shared" si="20"/>
        <v>0.287896224</v>
      </c>
      <c r="AQ41" s="43">
        <f t="shared" si="21"/>
        <v>3361.60413734746</v>
      </c>
      <c r="AR41" s="43">
        <f t="shared" si="22"/>
        <v>35029.332</v>
      </c>
      <c r="AS41" s="43">
        <f t="shared" si="23"/>
        <v>10084.8124120424</v>
      </c>
      <c r="AT41" s="107">
        <f t="shared" si="24"/>
        <v>0.824707419484905</v>
      </c>
      <c r="AU41" s="107">
        <f t="shared" si="25"/>
        <v>0.912273785976825</v>
      </c>
    </row>
    <row r="42" spans="1:47">
      <c r="A42" s="25">
        <v>102</v>
      </c>
      <c r="B42" s="26">
        <v>738</v>
      </c>
      <c r="C42" s="27" t="s">
        <v>82</v>
      </c>
      <c r="D42" s="26" t="s">
        <v>46</v>
      </c>
      <c r="E42" s="25">
        <v>3800</v>
      </c>
      <c r="F42" s="28">
        <v>0.3069</v>
      </c>
      <c r="G42" s="25">
        <f t="shared" si="0"/>
        <v>1166.22</v>
      </c>
      <c r="H42" s="29">
        <f>VLOOKUP(B42,[3]Sheet2!$A:$C,3,0)</f>
        <v>2</v>
      </c>
      <c r="J42" s="30">
        <f>VLOOKUP(B42,[1]查询时间段分门店销售汇总!$D:$L,9,0)</f>
        <v>20831.53</v>
      </c>
      <c r="K42" s="30">
        <f>VLOOKUP(B42,[1]查询时间段分门店销售汇总!$D:$M,10,0)</f>
        <v>6295.71</v>
      </c>
      <c r="L42" s="31">
        <f>E42*1.6</f>
        <v>6080</v>
      </c>
      <c r="M42" s="32">
        <v>0.2869515</v>
      </c>
      <c r="N42" s="37">
        <f t="shared" si="1"/>
        <v>1744.66512</v>
      </c>
      <c r="O42" s="37">
        <f t="shared" si="2"/>
        <v>24320</v>
      </c>
      <c r="P42" s="37">
        <f t="shared" si="3"/>
        <v>6978.66048</v>
      </c>
      <c r="Q42" s="81">
        <f t="shared" si="4"/>
        <v>0.856559621710526</v>
      </c>
      <c r="R42" s="81">
        <f t="shared" si="5"/>
        <v>0.902137311027345</v>
      </c>
      <c r="S42" s="82">
        <f t="shared" si="6"/>
        <v>6992</v>
      </c>
      <c r="T42" s="83"/>
      <c r="U42" s="82">
        <f t="shared" si="28"/>
        <v>-34.8847</v>
      </c>
      <c r="V42" s="84">
        <f t="shared" si="29"/>
        <v>-17.44235</v>
      </c>
      <c r="W42" s="32">
        <f t="shared" si="7"/>
        <v>0.26973441</v>
      </c>
      <c r="X42" s="37">
        <f t="shared" si="8"/>
        <v>1885.98299472</v>
      </c>
      <c r="Y42" s="38">
        <f t="shared" si="9"/>
        <v>27968</v>
      </c>
      <c r="Z42" s="38">
        <f t="shared" si="10"/>
        <v>7543.93197888</v>
      </c>
      <c r="AA42" s="81">
        <f t="shared" si="11"/>
        <v>0.744834453661327</v>
      </c>
      <c r="AB42" s="81">
        <f t="shared" si="12"/>
        <v>0.834539603170532</v>
      </c>
      <c r="AC42" s="71"/>
      <c r="AD42" s="71"/>
      <c r="AE42" s="98">
        <f>VLOOKUP(B42,[2]查询时间段分门店销售汇总!$D:$L,9,0)</f>
        <v>13909.68</v>
      </c>
      <c r="AF42" s="98">
        <f>VLOOKUP(B42,[2]查询时间段分门店销售汇总!$D:$M,10,0)</f>
        <v>3919.75</v>
      </c>
      <c r="AG42" s="41">
        <f t="shared" si="13"/>
        <v>5411.2</v>
      </c>
      <c r="AH42" s="28">
        <v>0.2912557725</v>
      </c>
      <c r="AI42" s="43">
        <f t="shared" si="14"/>
        <v>1576.043236152</v>
      </c>
      <c r="AJ42" s="43">
        <f t="shared" si="15"/>
        <v>16233.6</v>
      </c>
      <c r="AK42" s="43">
        <f t="shared" si="16"/>
        <v>4728.129708456</v>
      </c>
      <c r="AL42" s="28">
        <f t="shared" si="17"/>
        <v>0.856845062093436</v>
      </c>
      <c r="AM42" s="28">
        <f t="shared" si="18"/>
        <v>0.829027594778067</v>
      </c>
      <c r="AN42" s="43">
        <f t="shared" si="19"/>
        <v>6276.992</v>
      </c>
      <c r="AP42" s="28">
        <f t="shared" si="20"/>
        <v>0.2796055416</v>
      </c>
      <c r="AQ42" s="43">
        <f t="shared" si="21"/>
        <v>1755.08174777887</v>
      </c>
      <c r="AR42" s="43">
        <f t="shared" si="22"/>
        <v>18830.976</v>
      </c>
      <c r="AS42" s="43">
        <f t="shared" si="23"/>
        <v>5265.2452433366</v>
      </c>
      <c r="AT42" s="107">
        <f t="shared" si="24"/>
        <v>0.738659536287445</v>
      </c>
      <c r="AU42" s="107">
        <f t="shared" si="25"/>
        <v>0.744457251057891</v>
      </c>
    </row>
    <row r="43" spans="1:47">
      <c r="A43" s="25">
        <v>66</v>
      </c>
      <c r="B43" s="26">
        <v>106485</v>
      </c>
      <c r="C43" s="27" t="s">
        <v>83</v>
      </c>
      <c r="D43" s="26" t="s">
        <v>34</v>
      </c>
      <c r="E43" s="25">
        <v>5200</v>
      </c>
      <c r="F43" s="28">
        <v>0.2478</v>
      </c>
      <c r="G43" s="25">
        <f t="shared" si="0"/>
        <v>1288.56</v>
      </c>
      <c r="H43" s="29">
        <f>VLOOKUP(B43,[3]Sheet2!$A:$C,3,0)</f>
        <v>2</v>
      </c>
      <c r="J43" s="30">
        <f>VLOOKUP(B43,[1]查询时间段分门店销售汇总!$D:$L,9,0)</f>
        <v>26672.55</v>
      </c>
      <c r="K43" s="30">
        <f>VLOOKUP(B43,[1]查询时间段分门店销售汇总!$D:$M,10,0)</f>
        <v>5847.05</v>
      </c>
      <c r="L43" s="31">
        <f>E43*1.5</f>
        <v>7800</v>
      </c>
      <c r="M43" s="32">
        <v>0.231693</v>
      </c>
      <c r="N43" s="37">
        <f t="shared" si="1"/>
        <v>1807.2054</v>
      </c>
      <c r="O43" s="37">
        <f t="shared" si="2"/>
        <v>31200</v>
      </c>
      <c r="P43" s="37">
        <f t="shared" si="3"/>
        <v>7228.8216</v>
      </c>
      <c r="Q43" s="81">
        <f t="shared" si="4"/>
        <v>0.854889423076923</v>
      </c>
      <c r="R43" s="81">
        <f t="shared" si="5"/>
        <v>0.808852441454635</v>
      </c>
      <c r="S43" s="82">
        <f t="shared" si="6"/>
        <v>8970</v>
      </c>
      <c r="T43" s="83"/>
      <c r="U43" s="82">
        <f t="shared" si="28"/>
        <v>-45.2745</v>
      </c>
      <c r="V43" s="84">
        <f t="shared" si="29"/>
        <v>-22.63725</v>
      </c>
      <c r="W43" s="32">
        <f t="shared" si="7"/>
        <v>0.21779142</v>
      </c>
      <c r="X43" s="37">
        <f t="shared" si="8"/>
        <v>1953.5890374</v>
      </c>
      <c r="Y43" s="38">
        <f t="shared" si="9"/>
        <v>35880</v>
      </c>
      <c r="Z43" s="38">
        <f t="shared" si="10"/>
        <v>7814.3561496</v>
      </c>
      <c r="AA43" s="81">
        <f t="shared" si="11"/>
        <v>0.743382107023411</v>
      </c>
      <c r="AB43" s="81">
        <f t="shared" si="12"/>
        <v>0.748244626692539</v>
      </c>
      <c r="AC43" s="71"/>
      <c r="AD43" s="71"/>
      <c r="AE43" s="98">
        <f>VLOOKUP(B43,[2]查询时间段分门店销售汇总!$D:$L,9,0)</f>
        <v>18648.97</v>
      </c>
      <c r="AF43" s="98">
        <f>VLOOKUP(B43,[2]查询时间段分门店销售汇总!$D:$M,10,0)</f>
        <v>4461.9</v>
      </c>
      <c r="AG43" s="41">
        <f t="shared" si="13"/>
        <v>6942</v>
      </c>
      <c r="AH43" s="28">
        <v>0.235168395</v>
      </c>
      <c r="AI43" s="43">
        <f t="shared" si="14"/>
        <v>1632.53899809</v>
      </c>
      <c r="AJ43" s="43">
        <f t="shared" si="15"/>
        <v>20826</v>
      </c>
      <c r="AK43" s="43">
        <f t="shared" si="16"/>
        <v>4897.61699427</v>
      </c>
      <c r="AL43" s="28">
        <f t="shared" si="17"/>
        <v>0.89546576394891</v>
      </c>
      <c r="AM43" s="28">
        <f t="shared" si="18"/>
        <v>0.911034898241375</v>
      </c>
      <c r="AN43" s="43">
        <f t="shared" si="19"/>
        <v>8052.72</v>
      </c>
      <c r="AP43" s="28">
        <f t="shared" si="20"/>
        <v>0.2257616592</v>
      </c>
      <c r="AQ43" s="43">
        <f t="shared" si="21"/>
        <v>1817.99542827302</v>
      </c>
      <c r="AR43" s="43">
        <f t="shared" si="22"/>
        <v>24158.16</v>
      </c>
      <c r="AS43" s="43">
        <f t="shared" si="23"/>
        <v>5453.98628481907</v>
      </c>
      <c r="AT43" s="107">
        <f t="shared" si="24"/>
        <v>0.771953244783543</v>
      </c>
      <c r="AU43" s="107">
        <f t="shared" si="25"/>
        <v>0.818098866955258</v>
      </c>
    </row>
    <row r="44" spans="1:47">
      <c r="A44" s="25">
        <v>55</v>
      </c>
      <c r="B44" s="26">
        <v>117184</v>
      </c>
      <c r="C44" s="27" t="s">
        <v>84</v>
      </c>
      <c r="D44" s="26" t="s">
        <v>42</v>
      </c>
      <c r="E44" s="25">
        <v>5800</v>
      </c>
      <c r="F44" s="28">
        <v>0.33</v>
      </c>
      <c r="G44" s="25">
        <f t="shared" si="0"/>
        <v>1914</v>
      </c>
      <c r="H44" s="29">
        <f>VLOOKUP(B44,[3]Sheet2!$A:$C,3,0)</f>
        <v>4</v>
      </c>
      <c r="J44" s="30">
        <f>VLOOKUP(B44,[1]查询时间段分门店销售汇总!$D:$L,9,0)</f>
        <v>29634.53</v>
      </c>
      <c r="K44" s="30">
        <f>VLOOKUP(B44,[1]查询时间段分门店销售汇总!$D:$M,10,0)</f>
        <v>9655.7</v>
      </c>
      <c r="L44" s="31">
        <f>E44*1.5</f>
        <v>8700</v>
      </c>
      <c r="M44" s="32">
        <v>0.30855</v>
      </c>
      <c r="N44" s="37">
        <f t="shared" si="1"/>
        <v>2684.385</v>
      </c>
      <c r="O44" s="37">
        <f t="shared" si="2"/>
        <v>34800</v>
      </c>
      <c r="P44" s="37">
        <f t="shared" si="3"/>
        <v>10737.54</v>
      </c>
      <c r="Q44" s="81">
        <f t="shared" si="4"/>
        <v>0.851566954022988</v>
      </c>
      <c r="R44" s="81">
        <f t="shared" si="5"/>
        <v>0.899246941105691</v>
      </c>
      <c r="S44" s="82">
        <f t="shared" si="6"/>
        <v>10005</v>
      </c>
      <c r="T44" s="83"/>
      <c r="U44" s="82">
        <f t="shared" si="28"/>
        <v>-51.6547</v>
      </c>
      <c r="V44" s="84">
        <f t="shared" si="29"/>
        <v>-25.82735</v>
      </c>
      <c r="W44" s="32">
        <f t="shared" si="7"/>
        <v>0.290037</v>
      </c>
      <c r="X44" s="37">
        <f t="shared" si="8"/>
        <v>2901.820185</v>
      </c>
      <c r="Y44" s="38">
        <f t="shared" si="9"/>
        <v>40020</v>
      </c>
      <c r="Z44" s="38">
        <f t="shared" si="10"/>
        <v>11607.28074</v>
      </c>
      <c r="AA44" s="81">
        <f t="shared" si="11"/>
        <v>0.740493003498251</v>
      </c>
      <c r="AB44" s="81">
        <f t="shared" si="12"/>
        <v>0.831865810458548</v>
      </c>
      <c r="AC44" s="71"/>
      <c r="AD44" s="71"/>
      <c r="AE44" s="98">
        <f>VLOOKUP(B44,[2]查询时间段分门店销售汇总!$D:$L,9,0)</f>
        <v>17797.27</v>
      </c>
      <c r="AF44" s="98">
        <f>VLOOKUP(B44,[2]查询时间段分门店销售汇总!$D:$M,10,0)</f>
        <v>6238.69</v>
      </c>
      <c r="AG44" s="41">
        <f t="shared" si="13"/>
        <v>7743</v>
      </c>
      <c r="AH44" s="28">
        <v>0.31317825</v>
      </c>
      <c r="AI44" s="43">
        <f t="shared" si="14"/>
        <v>2424.93918975</v>
      </c>
      <c r="AJ44" s="43">
        <f t="shared" si="15"/>
        <v>23229</v>
      </c>
      <c r="AK44" s="43">
        <f t="shared" si="16"/>
        <v>7274.81756925</v>
      </c>
      <c r="AL44" s="28">
        <f t="shared" si="17"/>
        <v>0.766165999397305</v>
      </c>
      <c r="AM44" s="28">
        <f t="shared" si="18"/>
        <v>0.857573394880771</v>
      </c>
      <c r="AN44" s="43">
        <f t="shared" si="19"/>
        <v>8981.88</v>
      </c>
      <c r="AP44" s="28">
        <f t="shared" si="20"/>
        <v>0.30065112</v>
      </c>
      <c r="AQ44" s="43">
        <f t="shared" si="21"/>
        <v>2700.4122817056</v>
      </c>
      <c r="AR44" s="43">
        <f t="shared" si="22"/>
        <v>26945.64</v>
      </c>
      <c r="AS44" s="43">
        <f t="shared" si="23"/>
        <v>8101.2368451168</v>
      </c>
      <c r="AT44" s="107">
        <f t="shared" si="24"/>
        <v>0.660487930514918</v>
      </c>
      <c r="AU44" s="107">
        <f t="shared" si="25"/>
        <v>0.770091051437474</v>
      </c>
    </row>
    <row r="45" spans="1:47">
      <c r="A45" s="25">
        <v>48</v>
      </c>
      <c r="B45" s="26">
        <v>598</v>
      </c>
      <c r="C45" s="27" t="s">
        <v>85</v>
      </c>
      <c r="D45" s="26" t="s">
        <v>42</v>
      </c>
      <c r="E45" s="25">
        <v>6000</v>
      </c>
      <c r="F45" s="28">
        <v>0.3326</v>
      </c>
      <c r="G45" s="25">
        <f t="shared" si="0"/>
        <v>1995.6</v>
      </c>
      <c r="H45" s="29">
        <f>VLOOKUP(B45,[3]Sheet2!$A:$C,3,0)</f>
        <v>3</v>
      </c>
      <c r="J45" s="30">
        <f>VLOOKUP(B45,[1]查询时间段分门店销售汇总!$D:$L,9,0)</f>
        <v>29509.29</v>
      </c>
      <c r="K45" s="30">
        <f>VLOOKUP(B45,[1]查询时间段分门店销售汇总!$D:$M,10,0)</f>
        <v>8051.9</v>
      </c>
      <c r="L45" s="31">
        <f>E45*1.45</f>
        <v>8700</v>
      </c>
      <c r="M45" s="32">
        <v>0.310981</v>
      </c>
      <c r="N45" s="37">
        <f t="shared" si="1"/>
        <v>2705.5347</v>
      </c>
      <c r="O45" s="37">
        <f t="shared" si="2"/>
        <v>34800</v>
      </c>
      <c r="P45" s="37">
        <f t="shared" si="3"/>
        <v>10822.1388</v>
      </c>
      <c r="Q45" s="81">
        <f t="shared" si="4"/>
        <v>0.847968103448276</v>
      </c>
      <c r="R45" s="81">
        <f t="shared" si="5"/>
        <v>0.744021135637255</v>
      </c>
      <c r="S45" s="82">
        <f t="shared" si="6"/>
        <v>10005</v>
      </c>
      <c r="T45" s="83"/>
      <c r="U45" s="82">
        <f t="shared" si="28"/>
        <v>-52.9071</v>
      </c>
      <c r="V45" s="84">
        <f t="shared" si="29"/>
        <v>-26.45355</v>
      </c>
      <c r="W45" s="32">
        <f t="shared" si="7"/>
        <v>0.29232214</v>
      </c>
      <c r="X45" s="37">
        <f t="shared" si="8"/>
        <v>2924.6830107</v>
      </c>
      <c r="Y45" s="38">
        <f t="shared" si="9"/>
        <v>40020</v>
      </c>
      <c r="Z45" s="38">
        <f t="shared" si="10"/>
        <v>11698.7320428</v>
      </c>
      <c r="AA45" s="81">
        <f t="shared" si="11"/>
        <v>0.737363568215892</v>
      </c>
      <c r="AB45" s="81">
        <f t="shared" si="12"/>
        <v>0.688271170802271</v>
      </c>
      <c r="AC45" s="71"/>
      <c r="AD45" s="71"/>
      <c r="AE45" s="98">
        <f>VLOOKUP(B45,[2]查询时间段分门店销售汇总!$D:$L,9,0)</f>
        <v>20387.86</v>
      </c>
      <c r="AF45" s="98">
        <f>VLOOKUP(B45,[2]查询时间段分门店销售汇总!$D:$M,10,0)</f>
        <v>6440.7</v>
      </c>
      <c r="AG45" s="41">
        <f t="shared" si="13"/>
        <v>7743</v>
      </c>
      <c r="AH45" s="28">
        <v>0.315645715</v>
      </c>
      <c r="AI45" s="43">
        <f t="shared" si="14"/>
        <v>2444.044771245</v>
      </c>
      <c r="AJ45" s="43">
        <f t="shared" si="15"/>
        <v>23229</v>
      </c>
      <c r="AK45" s="43">
        <f t="shared" si="16"/>
        <v>7332.134313735</v>
      </c>
      <c r="AL45" s="28">
        <f t="shared" si="17"/>
        <v>0.877689956519867</v>
      </c>
      <c r="AM45" s="28">
        <f t="shared" si="18"/>
        <v>0.878420896891494</v>
      </c>
      <c r="AN45" s="43">
        <f t="shared" si="19"/>
        <v>8981.88</v>
      </c>
      <c r="AP45" s="28">
        <f t="shared" si="20"/>
        <v>0.3030198864</v>
      </c>
      <c r="AQ45" s="43">
        <f t="shared" si="21"/>
        <v>2721.68825725843</v>
      </c>
      <c r="AR45" s="43">
        <f t="shared" si="22"/>
        <v>26945.64</v>
      </c>
      <c r="AS45" s="43">
        <f t="shared" si="23"/>
        <v>8165.0647717753</v>
      </c>
      <c r="AT45" s="107">
        <f t="shared" si="24"/>
        <v>0.756629272861955</v>
      </c>
      <c r="AU45" s="107">
        <f t="shared" si="25"/>
        <v>0.788811868616643</v>
      </c>
    </row>
    <row r="46" spans="1:47">
      <c r="A46" s="25">
        <v>112</v>
      </c>
      <c r="B46" s="26">
        <v>351</v>
      </c>
      <c r="C46" s="27" t="s">
        <v>86</v>
      </c>
      <c r="D46" s="26" t="s">
        <v>46</v>
      </c>
      <c r="E46" s="25">
        <v>3500</v>
      </c>
      <c r="F46" s="28">
        <v>0.3041</v>
      </c>
      <c r="G46" s="25">
        <f t="shared" si="0"/>
        <v>1064.35</v>
      </c>
      <c r="H46" s="29">
        <f>VLOOKUP(B46,[3]Sheet2!$A:$C,3,0)</f>
        <v>3</v>
      </c>
      <c r="J46" s="30">
        <f>VLOOKUP(B46,[1]查询时间段分门店销售汇总!$D:$L,9,0)</f>
        <v>18876.62</v>
      </c>
      <c r="K46" s="30">
        <f>VLOOKUP(B46,[1]查询时间段分门店销售汇总!$D:$M,10,0)</f>
        <v>4931.46</v>
      </c>
      <c r="L46" s="31">
        <f>E46*1.6</f>
        <v>5600</v>
      </c>
      <c r="M46" s="32">
        <v>0.2843335</v>
      </c>
      <c r="N46" s="37">
        <f t="shared" si="1"/>
        <v>1592.2676</v>
      </c>
      <c r="O46" s="37">
        <f t="shared" si="2"/>
        <v>22400</v>
      </c>
      <c r="P46" s="37">
        <f t="shared" si="3"/>
        <v>6369.0704</v>
      </c>
      <c r="Q46" s="81">
        <f t="shared" si="4"/>
        <v>0.84270625</v>
      </c>
      <c r="R46" s="81">
        <f t="shared" si="5"/>
        <v>0.774282538940063</v>
      </c>
      <c r="S46" s="82">
        <f t="shared" si="6"/>
        <v>6440</v>
      </c>
      <c r="T46" s="83"/>
      <c r="U46" s="82">
        <f t="shared" si="28"/>
        <v>-35.2338</v>
      </c>
      <c r="V46" s="84">
        <f t="shared" si="29"/>
        <v>-17.6169</v>
      </c>
      <c r="W46" s="32">
        <f t="shared" si="7"/>
        <v>0.26727349</v>
      </c>
      <c r="X46" s="37">
        <f t="shared" si="8"/>
        <v>1721.2412756</v>
      </c>
      <c r="Y46" s="38">
        <f t="shared" si="9"/>
        <v>25760</v>
      </c>
      <c r="Z46" s="38">
        <f t="shared" si="10"/>
        <v>6884.9651024</v>
      </c>
      <c r="AA46" s="81">
        <f t="shared" si="11"/>
        <v>0.732788043478261</v>
      </c>
      <c r="AB46" s="81">
        <f t="shared" si="12"/>
        <v>0.716265068399688</v>
      </c>
      <c r="AC46" s="71"/>
      <c r="AD46" s="71"/>
      <c r="AE46" s="98">
        <f>VLOOKUP(B46,[2]查询时间段分门店销售汇总!$D:$L,9,0)</f>
        <v>10728.89</v>
      </c>
      <c r="AF46" s="98">
        <f>VLOOKUP(B46,[2]查询时间段分门店销售汇总!$D:$M,10,0)</f>
        <v>3613.88</v>
      </c>
      <c r="AG46" s="41">
        <f t="shared" si="13"/>
        <v>4984</v>
      </c>
      <c r="AH46" s="28">
        <v>0.2885985025</v>
      </c>
      <c r="AI46" s="43">
        <f t="shared" si="14"/>
        <v>1438.37493646</v>
      </c>
      <c r="AJ46" s="43">
        <f t="shared" si="15"/>
        <v>14952</v>
      </c>
      <c r="AK46" s="43">
        <f t="shared" si="16"/>
        <v>4315.12480938</v>
      </c>
      <c r="AL46" s="28">
        <f t="shared" si="17"/>
        <v>0.717555510968432</v>
      </c>
      <c r="AM46" s="28">
        <f t="shared" si="18"/>
        <v>0.837491419053356</v>
      </c>
      <c r="AN46" s="43">
        <f t="shared" si="19"/>
        <v>5781.44</v>
      </c>
      <c r="AP46" s="28">
        <f t="shared" si="20"/>
        <v>0.2770545624</v>
      </c>
      <c r="AQ46" s="43">
        <f t="shared" si="21"/>
        <v>1601.77432924186</v>
      </c>
      <c r="AR46" s="43">
        <f t="shared" si="22"/>
        <v>17344.32</v>
      </c>
      <c r="AS46" s="43">
        <f t="shared" si="23"/>
        <v>4805.32298772557</v>
      </c>
      <c r="AT46" s="107">
        <f t="shared" si="24"/>
        <v>0.618582337041752</v>
      </c>
      <c r="AU46" s="107">
        <f t="shared" si="25"/>
        <v>0.752057667971764</v>
      </c>
    </row>
    <row r="47" spans="1:47">
      <c r="A47" s="25">
        <v>125</v>
      </c>
      <c r="B47" s="26">
        <v>52</v>
      </c>
      <c r="C47" s="27" t="s">
        <v>87</v>
      </c>
      <c r="D47" s="26" t="s">
        <v>53</v>
      </c>
      <c r="E47" s="25">
        <v>3000</v>
      </c>
      <c r="F47" s="28">
        <v>0.309</v>
      </c>
      <c r="G47" s="25">
        <f t="shared" si="0"/>
        <v>927</v>
      </c>
      <c r="H47" s="29">
        <f>VLOOKUP(B47,[3]Sheet2!$A:$C,3,0)</f>
        <v>2</v>
      </c>
      <c r="J47" s="30">
        <f>VLOOKUP(B47,[1]查询时间段分门店销售汇总!$D:$L,9,0)</f>
        <v>16170.87</v>
      </c>
      <c r="K47" s="30">
        <f>VLOOKUP(B47,[1]查询时间段分门店销售汇总!$D:$M,10,0)</f>
        <v>5306.72</v>
      </c>
      <c r="L47" s="31">
        <f>E47*1.6</f>
        <v>4800</v>
      </c>
      <c r="M47" s="32">
        <v>0.288915</v>
      </c>
      <c r="N47" s="37">
        <f t="shared" si="1"/>
        <v>1386.792</v>
      </c>
      <c r="O47" s="37">
        <f t="shared" si="2"/>
        <v>19200</v>
      </c>
      <c r="P47" s="37">
        <f t="shared" si="3"/>
        <v>5547.168</v>
      </c>
      <c r="Q47" s="81">
        <f t="shared" si="4"/>
        <v>0.8422328125</v>
      </c>
      <c r="R47" s="81">
        <f t="shared" si="5"/>
        <v>0.956653917818966</v>
      </c>
      <c r="S47" s="82">
        <f t="shared" si="6"/>
        <v>5520</v>
      </c>
      <c r="T47" s="83"/>
      <c r="U47" s="82">
        <f t="shared" si="28"/>
        <v>-30.2913</v>
      </c>
      <c r="V47" s="84">
        <f t="shared" si="29"/>
        <v>-15.14565</v>
      </c>
      <c r="W47" s="32">
        <f t="shared" si="7"/>
        <v>0.2715801</v>
      </c>
      <c r="X47" s="37">
        <f t="shared" si="8"/>
        <v>1499.122152</v>
      </c>
      <c r="Y47" s="38">
        <f t="shared" si="9"/>
        <v>22080</v>
      </c>
      <c r="Z47" s="38">
        <f t="shared" si="10"/>
        <v>5996.488608</v>
      </c>
      <c r="AA47" s="81">
        <f t="shared" si="11"/>
        <v>0.732376358695652</v>
      </c>
      <c r="AB47" s="81">
        <f t="shared" si="12"/>
        <v>0.884971246826056</v>
      </c>
      <c r="AC47" s="71"/>
      <c r="AD47" s="71"/>
      <c r="AE47" s="98">
        <f>VLOOKUP(B47,[2]查询时间段分门店销售汇总!$D:$L,9,0)</f>
        <v>10753.81</v>
      </c>
      <c r="AF47" s="98">
        <f>VLOOKUP(B47,[2]查询时间段分门店销售汇总!$D:$M,10,0)</f>
        <v>3650.65</v>
      </c>
      <c r="AG47" s="41">
        <f t="shared" si="13"/>
        <v>4272</v>
      </c>
      <c r="AH47" s="28">
        <v>0.293248725</v>
      </c>
      <c r="AI47" s="43">
        <f t="shared" si="14"/>
        <v>1252.7585532</v>
      </c>
      <c r="AJ47" s="43">
        <f t="shared" si="15"/>
        <v>12816</v>
      </c>
      <c r="AK47" s="43">
        <f t="shared" si="16"/>
        <v>3758.2756596</v>
      </c>
      <c r="AL47" s="28">
        <f t="shared" si="17"/>
        <v>0.839092540574282</v>
      </c>
      <c r="AM47" s="28">
        <f t="shared" si="18"/>
        <v>0.971363021409809</v>
      </c>
      <c r="AN47" s="43">
        <f t="shared" si="19"/>
        <v>4955.52</v>
      </c>
      <c r="AP47" s="28">
        <f t="shared" si="20"/>
        <v>0.281518776</v>
      </c>
      <c r="AQ47" s="43">
        <f t="shared" si="21"/>
        <v>1395.07192484352</v>
      </c>
      <c r="AR47" s="43">
        <f t="shared" si="22"/>
        <v>14866.56</v>
      </c>
      <c r="AS47" s="43">
        <f t="shared" si="23"/>
        <v>4185.21577453056</v>
      </c>
      <c r="AT47" s="107">
        <f t="shared" si="24"/>
        <v>0.723355638426105</v>
      </c>
      <c r="AU47" s="107">
        <f t="shared" si="25"/>
        <v>0.872272828133809</v>
      </c>
    </row>
    <row r="48" spans="1:47">
      <c r="A48" s="25">
        <v>16</v>
      </c>
      <c r="B48" s="26">
        <v>742</v>
      </c>
      <c r="C48" s="27" t="s">
        <v>88</v>
      </c>
      <c r="D48" s="26" t="s">
        <v>34</v>
      </c>
      <c r="E48" s="25">
        <v>9200</v>
      </c>
      <c r="F48" s="28">
        <v>0.215</v>
      </c>
      <c r="G48" s="25">
        <f t="shared" si="0"/>
        <v>1978</v>
      </c>
      <c r="H48" s="29">
        <f>VLOOKUP(B48,[3]Sheet2!$A:$C,3,0)</f>
        <v>2</v>
      </c>
      <c r="J48" s="30">
        <f>VLOOKUP(B48,[1]查询时间段分门店销售汇总!$D:$L,9,0)</f>
        <v>42195.18</v>
      </c>
      <c r="K48" s="30">
        <f>VLOOKUP(B48,[1]查询时间段分门店销售汇总!$D:$M,10,0)</f>
        <v>9097.59</v>
      </c>
      <c r="L48" s="31">
        <f>E48*1.4</f>
        <v>12880</v>
      </c>
      <c r="M48" s="32">
        <v>0.201025</v>
      </c>
      <c r="N48" s="37">
        <f t="shared" si="1"/>
        <v>2589.202</v>
      </c>
      <c r="O48" s="37">
        <f t="shared" si="2"/>
        <v>51520</v>
      </c>
      <c r="P48" s="37">
        <f t="shared" si="3"/>
        <v>10356.808</v>
      </c>
      <c r="Q48" s="81">
        <f t="shared" si="4"/>
        <v>0.819005822981366</v>
      </c>
      <c r="R48" s="81">
        <f t="shared" si="5"/>
        <v>0.878416400110922</v>
      </c>
      <c r="S48" s="82">
        <f t="shared" si="6"/>
        <v>14812</v>
      </c>
      <c r="T48" s="83"/>
      <c r="U48" s="82">
        <f t="shared" si="28"/>
        <v>-93.2482</v>
      </c>
      <c r="V48" s="84">
        <f t="shared" si="29"/>
        <v>-46.6241</v>
      </c>
      <c r="W48" s="32">
        <f t="shared" si="7"/>
        <v>0.1889635</v>
      </c>
      <c r="X48" s="37">
        <f t="shared" si="8"/>
        <v>2798.927362</v>
      </c>
      <c r="Y48" s="38">
        <f t="shared" si="9"/>
        <v>59248</v>
      </c>
      <c r="Z48" s="38">
        <f t="shared" si="10"/>
        <v>11195.709448</v>
      </c>
      <c r="AA48" s="81">
        <f t="shared" si="11"/>
        <v>0.712178976505536</v>
      </c>
      <c r="AB48" s="81">
        <f t="shared" si="12"/>
        <v>0.812596114811214</v>
      </c>
      <c r="AC48" s="71"/>
      <c r="AD48" s="71"/>
      <c r="AE48" s="98">
        <f>VLOOKUP(B48,[2]查询时间段分门店销售汇总!$D:$L,9,0)</f>
        <v>25444.61</v>
      </c>
      <c r="AF48" s="98">
        <f>VLOOKUP(B48,[2]查询时间段分门店销售汇总!$D:$M,10,0)</f>
        <v>6739.03</v>
      </c>
      <c r="AG48" s="41">
        <f t="shared" si="13"/>
        <v>11463.2</v>
      </c>
      <c r="AH48" s="28">
        <v>0.204040375</v>
      </c>
      <c r="AI48" s="43">
        <f t="shared" si="14"/>
        <v>2338.9556267</v>
      </c>
      <c r="AJ48" s="43">
        <f t="shared" si="15"/>
        <v>34389.6</v>
      </c>
      <c r="AK48" s="43">
        <f t="shared" si="16"/>
        <v>7016.8668801</v>
      </c>
      <c r="AL48" s="28">
        <f t="shared" si="17"/>
        <v>0.739892583804406</v>
      </c>
      <c r="AM48" s="28">
        <f t="shared" si="18"/>
        <v>0.960404424817014</v>
      </c>
      <c r="AN48" s="43">
        <f t="shared" si="19"/>
        <v>13297.312</v>
      </c>
      <c r="AP48" s="28">
        <f t="shared" si="20"/>
        <v>0.19587876</v>
      </c>
      <c r="AQ48" s="43">
        <f t="shared" si="21"/>
        <v>2604.66098589312</v>
      </c>
      <c r="AR48" s="43">
        <f t="shared" si="22"/>
        <v>39891.936</v>
      </c>
      <c r="AS48" s="43">
        <f t="shared" si="23"/>
        <v>7813.98295767936</v>
      </c>
      <c r="AT48" s="107">
        <f t="shared" si="24"/>
        <v>0.637838434314143</v>
      </c>
      <c r="AU48" s="107">
        <f t="shared" si="25"/>
        <v>0.862432134354359</v>
      </c>
    </row>
    <row r="49" spans="1:47">
      <c r="A49" s="25">
        <v>34</v>
      </c>
      <c r="B49" s="26">
        <v>379</v>
      </c>
      <c r="C49" s="27" t="s">
        <v>89</v>
      </c>
      <c r="D49" s="26" t="s">
        <v>37</v>
      </c>
      <c r="E49" s="25">
        <v>7200</v>
      </c>
      <c r="F49" s="28">
        <v>0.2769</v>
      </c>
      <c r="G49" s="25">
        <f t="shared" si="0"/>
        <v>1993.68</v>
      </c>
      <c r="H49" s="29">
        <f>VLOOKUP(B49,[3]Sheet2!$A:$C,3,0)</f>
        <v>3</v>
      </c>
      <c r="J49" s="30">
        <f>VLOOKUP(B49,[1]查询时间段分门店销售汇总!$D:$L,9,0)</f>
        <v>34123.68</v>
      </c>
      <c r="K49" s="30">
        <f>VLOOKUP(B49,[1]查询时间段分门店销售汇总!$D:$M,10,0)</f>
        <v>9872.53</v>
      </c>
      <c r="L49" s="31">
        <f>E49*1.45</f>
        <v>10440</v>
      </c>
      <c r="M49" s="32">
        <v>0.2589015</v>
      </c>
      <c r="N49" s="37">
        <f t="shared" si="1"/>
        <v>2702.93166</v>
      </c>
      <c r="O49" s="37">
        <f t="shared" si="2"/>
        <v>41760</v>
      </c>
      <c r="P49" s="37">
        <f t="shared" si="3"/>
        <v>10811.72664</v>
      </c>
      <c r="Q49" s="81">
        <f t="shared" si="4"/>
        <v>0.817137931034483</v>
      </c>
      <c r="R49" s="81">
        <f t="shared" si="5"/>
        <v>0.9131316697811</v>
      </c>
      <c r="S49" s="82">
        <f t="shared" si="6"/>
        <v>12006</v>
      </c>
      <c r="T49" s="83"/>
      <c r="U49" s="82">
        <f t="shared" si="28"/>
        <v>-76.3632</v>
      </c>
      <c r="V49" s="84">
        <f t="shared" si="29"/>
        <v>-38.1816</v>
      </c>
      <c r="W49" s="32">
        <f t="shared" si="7"/>
        <v>0.24336741</v>
      </c>
      <c r="X49" s="37">
        <f t="shared" si="8"/>
        <v>2921.86912446</v>
      </c>
      <c r="Y49" s="38">
        <f t="shared" si="9"/>
        <v>48024</v>
      </c>
      <c r="Z49" s="38">
        <f t="shared" si="10"/>
        <v>11687.47649784</v>
      </c>
      <c r="AA49" s="81">
        <f t="shared" si="11"/>
        <v>0.710554722638681</v>
      </c>
      <c r="AB49" s="81">
        <f t="shared" si="12"/>
        <v>0.844710147808603</v>
      </c>
      <c r="AC49" s="71"/>
      <c r="AD49" s="71"/>
      <c r="AE49" s="98">
        <f>VLOOKUP(B49,[2]查询时间段分门店销售汇总!$D:$L,9,0)</f>
        <v>27846.31</v>
      </c>
      <c r="AF49" s="98">
        <f>VLOOKUP(B49,[2]查询时间段分门店销售汇总!$D:$M,10,0)</f>
        <v>8000.2</v>
      </c>
      <c r="AG49" s="41">
        <f t="shared" si="13"/>
        <v>9291.6</v>
      </c>
      <c r="AH49" s="28">
        <v>0.2627850225</v>
      </c>
      <c r="AI49" s="43">
        <f t="shared" si="14"/>
        <v>2441.693315061</v>
      </c>
      <c r="AJ49" s="43">
        <f t="shared" si="15"/>
        <v>27874.8</v>
      </c>
      <c r="AK49" s="43">
        <f t="shared" si="16"/>
        <v>7325.079945183</v>
      </c>
      <c r="AL49" s="28">
        <f t="shared" si="17"/>
        <v>0.998977929886492</v>
      </c>
      <c r="AM49" s="28">
        <f t="shared" si="18"/>
        <v>1.09216555448804</v>
      </c>
      <c r="AN49" s="43">
        <f t="shared" si="19"/>
        <v>10778.256</v>
      </c>
      <c r="AP49" s="28">
        <f t="shared" si="20"/>
        <v>0.2522736216</v>
      </c>
      <c r="AQ49" s="43">
        <f t="shared" si="21"/>
        <v>2719.06967565193</v>
      </c>
      <c r="AR49" s="43">
        <f t="shared" si="22"/>
        <v>32334.768</v>
      </c>
      <c r="AS49" s="43">
        <f t="shared" si="23"/>
        <v>8157.20902695579</v>
      </c>
      <c r="AT49" s="107">
        <f t="shared" si="24"/>
        <v>0.861187870591804</v>
      </c>
      <c r="AU49" s="107">
        <f t="shared" si="25"/>
        <v>0.980752114303195</v>
      </c>
    </row>
    <row r="50" spans="1:47">
      <c r="A50" s="25">
        <v>28</v>
      </c>
      <c r="B50" s="26">
        <v>514</v>
      </c>
      <c r="C50" s="27" t="s">
        <v>90</v>
      </c>
      <c r="D50" s="26" t="s">
        <v>59</v>
      </c>
      <c r="E50" s="25">
        <v>7500</v>
      </c>
      <c r="F50" s="28">
        <v>0.3043</v>
      </c>
      <c r="G50" s="25">
        <f t="shared" si="0"/>
        <v>2282.25</v>
      </c>
      <c r="H50" s="29">
        <f>VLOOKUP(B50,[3]Sheet2!$A:$C,3,0)</f>
        <v>4</v>
      </c>
      <c r="J50" s="30">
        <f>VLOOKUP(B50,[1]查询时间段分门店销售汇总!$D:$L,9,0)</f>
        <v>35545.02</v>
      </c>
      <c r="K50" s="30">
        <f>VLOOKUP(B50,[1]查询时间段分门店销售汇总!$D:$M,10,0)</f>
        <v>11609.87</v>
      </c>
      <c r="L50" s="31">
        <f>E50*1.45</f>
        <v>10875</v>
      </c>
      <c r="M50" s="32">
        <v>0.2845205</v>
      </c>
      <c r="N50" s="37">
        <f t="shared" si="1"/>
        <v>3094.1604375</v>
      </c>
      <c r="O50" s="37">
        <f t="shared" si="2"/>
        <v>43500</v>
      </c>
      <c r="P50" s="37">
        <f t="shared" si="3"/>
        <v>12376.64175</v>
      </c>
      <c r="Q50" s="81">
        <f t="shared" si="4"/>
        <v>0.817126896551724</v>
      </c>
      <c r="R50" s="81">
        <f t="shared" si="5"/>
        <v>0.938046865580479</v>
      </c>
      <c r="S50" s="82">
        <f t="shared" si="6"/>
        <v>12506.25</v>
      </c>
      <c r="T50" s="83"/>
      <c r="U50" s="82">
        <f t="shared" ref="U50:U81" si="30">(J50-O50)*0.01</f>
        <v>-79.5498</v>
      </c>
      <c r="V50" s="84">
        <f t="shared" si="29"/>
        <v>-39.7749</v>
      </c>
      <c r="W50" s="32">
        <f t="shared" si="7"/>
        <v>0.26744927</v>
      </c>
      <c r="X50" s="37">
        <f t="shared" si="8"/>
        <v>3344.7874329375</v>
      </c>
      <c r="Y50" s="38">
        <f t="shared" si="9"/>
        <v>50025</v>
      </c>
      <c r="Z50" s="38">
        <f t="shared" si="10"/>
        <v>13379.14973175</v>
      </c>
      <c r="AA50" s="81">
        <f t="shared" si="11"/>
        <v>0.710545127436282</v>
      </c>
      <c r="AB50" s="81">
        <f t="shared" si="12"/>
        <v>0.867758432544384</v>
      </c>
      <c r="AC50" s="71"/>
      <c r="AD50" s="71"/>
      <c r="AE50" s="98">
        <f>VLOOKUP(B50,[2]查询时间段分门店销售汇总!$D:$L,9,0)</f>
        <v>28541.59</v>
      </c>
      <c r="AF50" s="98">
        <f>VLOOKUP(B50,[2]查询时间段分门店销售汇总!$D:$M,10,0)</f>
        <v>9344.44</v>
      </c>
      <c r="AG50" s="41">
        <f t="shared" si="13"/>
        <v>9678.75</v>
      </c>
      <c r="AH50" s="28">
        <v>0.2887883075</v>
      </c>
      <c r="AI50" s="43">
        <f t="shared" si="14"/>
        <v>2795.10983121563</v>
      </c>
      <c r="AJ50" s="43">
        <f t="shared" si="15"/>
        <v>29036.25</v>
      </c>
      <c r="AK50" s="43">
        <f t="shared" si="16"/>
        <v>8385.32949364688</v>
      </c>
      <c r="AL50" s="28">
        <f t="shared" si="17"/>
        <v>0.982964053553747</v>
      </c>
      <c r="AM50" s="28">
        <f t="shared" si="18"/>
        <v>1.11437958485469</v>
      </c>
      <c r="AN50" s="43">
        <f t="shared" si="19"/>
        <v>11227.35</v>
      </c>
      <c r="AP50" s="28">
        <f t="shared" si="20"/>
        <v>0.2772367752</v>
      </c>
      <c r="AQ50" s="43">
        <f t="shared" si="21"/>
        <v>3112.63430804172</v>
      </c>
      <c r="AR50" s="43">
        <f t="shared" si="22"/>
        <v>33682.05</v>
      </c>
      <c r="AS50" s="43">
        <f t="shared" si="23"/>
        <v>9337.90292412516</v>
      </c>
      <c r="AT50" s="107">
        <f t="shared" si="24"/>
        <v>0.847382804787713</v>
      </c>
      <c r="AU50" s="107">
        <f t="shared" si="25"/>
        <v>1.00070005823877</v>
      </c>
    </row>
    <row r="51" spans="1:47">
      <c r="A51" s="25">
        <v>86</v>
      </c>
      <c r="B51" s="26">
        <v>113008</v>
      </c>
      <c r="C51" s="27" t="s">
        <v>91</v>
      </c>
      <c r="D51" s="26" t="s">
        <v>42</v>
      </c>
      <c r="E51" s="25">
        <v>4200</v>
      </c>
      <c r="F51" s="28">
        <v>0.25</v>
      </c>
      <c r="G51" s="25">
        <f t="shared" si="0"/>
        <v>1050</v>
      </c>
      <c r="H51" s="29">
        <f>VLOOKUP(B51,[3]Sheet2!$A:$C,3,0)</f>
        <v>2</v>
      </c>
      <c r="J51" s="30">
        <f>VLOOKUP(B51,[1]查询时间段分门店销售汇总!$D:$L,9,0)</f>
        <v>21074.65</v>
      </c>
      <c r="K51" s="30">
        <f>VLOOKUP(B51,[1]查询时间段分门店销售汇总!$D:$M,10,0)</f>
        <v>4718.69</v>
      </c>
      <c r="L51" s="31">
        <f>E51*1.55</f>
        <v>6510</v>
      </c>
      <c r="M51" s="32">
        <v>0.23375</v>
      </c>
      <c r="N51" s="37">
        <f t="shared" si="1"/>
        <v>1521.7125</v>
      </c>
      <c r="O51" s="37">
        <f t="shared" si="2"/>
        <v>26040</v>
      </c>
      <c r="P51" s="37">
        <f t="shared" si="3"/>
        <v>6086.85</v>
      </c>
      <c r="Q51" s="81">
        <f t="shared" si="4"/>
        <v>0.809318356374808</v>
      </c>
      <c r="R51" s="81">
        <f t="shared" si="5"/>
        <v>0.77522692361402</v>
      </c>
      <c r="S51" s="82">
        <f t="shared" si="6"/>
        <v>7486.5</v>
      </c>
      <c r="T51" s="83"/>
      <c r="U51" s="82">
        <f t="shared" si="30"/>
        <v>-49.6535</v>
      </c>
      <c r="V51" s="84">
        <f t="shared" si="29"/>
        <v>-24.82675</v>
      </c>
      <c r="W51" s="32">
        <f t="shared" si="7"/>
        <v>0.219725</v>
      </c>
      <c r="X51" s="37">
        <f t="shared" si="8"/>
        <v>1644.9712125</v>
      </c>
      <c r="Y51" s="38">
        <f t="shared" si="9"/>
        <v>29946</v>
      </c>
      <c r="Z51" s="38">
        <f t="shared" si="10"/>
        <v>6579.88485</v>
      </c>
      <c r="AA51" s="81">
        <f t="shared" si="11"/>
        <v>0.703755092499833</v>
      </c>
      <c r="AB51" s="81">
        <f t="shared" si="12"/>
        <v>0.7171386897447</v>
      </c>
      <c r="AC51" s="71"/>
      <c r="AD51" s="71"/>
      <c r="AE51" s="98">
        <f>VLOOKUP(B51,[2]查询时间段分门店销售汇总!$D:$L,9,0)</f>
        <v>15698</v>
      </c>
      <c r="AF51" s="98">
        <f>VLOOKUP(B51,[2]查询时间段分门店销售汇总!$D:$M,10,0)</f>
        <v>3291.92</v>
      </c>
      <c r="AG51" s="41">
        <f t="shared" si="13"/>
        <v>5793.9</v>
      </c>
      <c r="AH51" s="28">
        <v>0.23725625</v>
      </c>
      <c r="AI51" s="43">
        <f t="shared" si="14"/>
        <v>1374.638986875</v>
      </c>
      <c r="AJ51" s="43">
        <f t="shared" si="15"/>
        <v>17381.7</v>
      </c>
      <c r="AK51" s="43">
        <f t="shared" si="16"/>
        <v>4123.916960625</v>
      </c>
      <c r="AL51" s="28">
        <f t="shared" si="17"/>
        <v>0.903133755616539</v>
      </c>
      <c r="AM51" s="28">
        <f t="shared" si="18"/>
        <v>0.798250796859182</v>
      </c>
      <c r="AN51" s="43">
        <f t="shared" si="19"/>
        <v>6720.924</v>
      </c>
      <c r="AP51" s="28">
        <f t="shared" si="20"/>
        <v>0.227766</v>
      </c>
      <c r="AQ51" s="43">
        <f t="shared" si="21"/>
        <v>1530.797975784</v>
      </c>
      <c r="AR51" s="43">
        <f t="shared" si="22"/>
        <v>20162.772</v>
      </c>
      <c r="AS51" s="43">
        <f t="shared" si="23"/>
        <v>4592.393927352</v>
      </c>
      <c r="AT51" s="107">
        <f t="shared" si="24"/>
        <v>0.778563582428051</v>
      </c>
      <c r="AU51" s="107">
        <f t="shared" si="25"/>
        <v>0.716820040283029</v>
      </c>
    </row>
    <row r="52" spans="1:47">
      <c r="A52" s="25">
        <v>77</v>
      </c>
      <c r="B52" s="26">
        <v>748</v>
      </c>
      <c r="C52" s="27" t="s">
        <v>92</v>
      </c>
      <c r="D52" s="26" t="s">
        <v>61</v>
      </c>
      <c r="E52" s="25">
        <v>4600</v>
      </c>
      <c r="F52" s="28">
        <v>0.3315</v>
      </c>
      <c r="G52" s="25">
        <f t="shared" si="0"/>
        <v>1524.9</v>
      </c>
      <c r="H52" s="29">
        <f>VLOOKUP(B52,[3]Sheet2!$A:$C,3,0)</f>
        <v>3</v>
      </c>
      <c r="J52" s="30">
        <f>VLOOKUP(B52,[1]查询时间段分门店销售汇总!$D:$L,9,0)</f>
        <v>23038.8</v>
      </c>
      <c r="K52" s="30">
        <f>VLOOKUP(B52,[1]查询时间段分门店销售汇总!$D:$M,10,0)</f>
        <v>6119.85</v>
      </c>
      <c r="L52" s="31">
        <f>E52*1.55</f>
        <v>7130</v>
      </c>
      <c r="M52" s="32">
        <v>0.3099525</v>
      </c>
      <c r="N52" s="37">
        <f t="shared" si="1"/>
        <v>2209.961325</v>
      </c>
      <c r="O52" s="37">
        <f t="shared" si="2"/>
        <v>28520</v>
      </c>
      <c r="P52" s="37">
        <f t="shared" si="3"/>
        <v>8839.8453</v>
      </c>
      <c r="Q52" s="81">
        <f t="shared" si="4"/>
        <v>0.80781206171108</v>
      </c>
      <c r="R52" s="81">
        <f t="shared" si="5"/>
        <v>0.692302839281588</v>
      </c>
      <c r="S52" s="82">
        <f t="shared" si="6"/>
        <v>8199.5</v>
      </c>
      <c r="T52" s="83"/>
      <c r="U52" s="82">
        <f t="shared" si="30"/>
        <v>-54.812</v>
      </c>
      <c r="V52" s="84">
        <f t="shared" si="29"/>
        <v>-27.406</v>
      </c>
      <c r="W52" s="32">
        <f t="shared" si="7"/>
        <v>0.29135535</v>
      </c>
      <c r="X52" s="37">
        <f t="shared" si="8"/>
        <v>2388.968192325</v>
      </c>
      <c r="Y52" s="38">
        <f t="shared" si="9"/>
        <v>32798</v>
      </c>
      <c r="Z52" s="38">
        <f t="shared" si="10"/>
        <v>9555.8727693</v>
      </c>
      <c r="AA52" s="81">
        <f t="shared" si="11"/>
        <v>0.702445271053113</v>
      </c>
      <c r="AB52" s="81">
        <f t="shared" si="12"/>
        <v>0.640428158447352</v>
      </c>
      <c r="AC52" s="71"/>
      <c r="AD52" s="71"/>
      <c r="AE52" s="98">
        <f>VLOOKUP(B52,[2]查询时间段分门店销售汇总!$D:$L,9,0)</f>
        <v>12264.36</v>
      </c>
      <c r="AF52" s="98">
        <f>VLOOKUP(B52,[2]查询时间段分门店销售汇总!$D:$M,10,0)</f>
        <v>3885.5</v>
      </c>
      <c r="AG52" s="41">
        <f t="shared" si="13"/>
        <v>6345.7</v>
      </c>
      <c r="AH52" s="28">
        <v>0.3146017875</v>
      </c>
      <c r="AI52" s="43">
        <f t="shared" si="14"/>
        <v>1996.36856293875</v>
      </c>
      <c r="AJ52" s="43">
        <f t="shared" si="15"/>
        <v>19037.1</v>
      </c>
      <c r="AK52" s="43">
        <f t="shared" si="16"/>
        <v>5989.10568881625</v>
      </c>
      <c r="AL52" s="28">
        <f t="shared" si="17"/>
        <v>0.644234678601258</v>
      </c>
      <c r="AM52" s="28">
        <f t="shared" si="18"/>
        <v>0.648761301249965</v>
      </c>
      <c r="AN52" s="43">
        <f t="shared" si="19"/>
        <v>7361.012</v>
      </c>
      <c r="AP52" s="28">
        <f t="shared" si="20"/>
        <v>0.302017716</v>
      </c>
      <c r="AQ52" s="43">
        <f t="shared" si="21"/>
        <v>2223.15603168859</v>
      </c>
      <c r="AR52" s="43">
        <f t="shared" si="22"/>
        <v>22083.036</v>
      </c>
      <c r="AS52" s="43">
        <f t="shared" si="23"/>
        <v>6669.46809506578</v>
      </c>
      <c r="AT52" s="107">
        <f t="shared" si="24"/>
        <v>0.555374722932119</v>
      </c>
      <c r="AU52" s="107">
        <f t="shared" si="25"/>
        <v>0.582580191496017</v>
      </c>
    </row>
    <row r="53" spans="1:47">
      <c r="A53" s="25">
        <v>94</v>
      </c>
      <c r="B53" s="26">
        <v>112415</v>
      </c>
      <c r="C53" s="27" t="s">
        <v>93</v>
      </c>
      <c r="D53" s="26" t="s">
        <v>65</v>
      </c>
      <c r="E53" s="25">
        <v>3800</v>
      </c>
      <c r="F53" s="28">
        <v>0.2477</v>
      </c>
      <c r="G53" s="25">
        <f t="shared" si="0"/>
        <v>941.26</v>
      </c>
      <c r="H53" s="29">
        <f>VLOOKUP(B53,[3]Sheet2!$A:$C,3,0)</f>
        <v>1</v>
      </c>
      <c r="J53" s="30">
        <f>VLOOKUP(B53,[1]查询时间段分门店销售汇总!$D:$L,9,0)</f>
        <v>19568.49</v>
      </c>
      <c r="K53" s="30">
        <f>VLOOKUP(B53,[1]查询时间段分门店销售汇总!$D:$M,10,0)</f>
        <v>3893.37</v>
      </c>
      <c r="L53" s="31">
        <f>E53*1.6</f>
        <v>6080</v>
      </c>
      <c r="M53" s="32">
        <v>0.2315995</v>
      </c>
      <c r="N53" s="37">
        <f t="shared" si="1"/>
        <v>1408.12496</v>
      </c>
      <c r="O53" s="37">
        <f t="shared" si="2"/>
        <v>24320</v>
      </c>
      <c r="P53" s="37">
        <f t="shared" si="3"/>
        <v>5632.49984</v>
      </c>
      <c r="Q53" s="81">
        <f t="shared" si="4"/>
        <v>0.804625411184211</v>
      </c>
      <c r="R53" s="81">
        <f t="shared" si="5"/>
        <v>0.691233042272044</v>
      </c>
      <c r="S53" s="82">
        <f t="shared" si="6"/>
        <v>6992</v>
      </c>
      <c r="T53" s="83"/>
      <c r="U53" s="82">
        <f t="shared" si="30"/>
        <v>-47.5151</v>
      </c>
      <c r="V53" s="84">
        <f t="shared" si="29"/>
        <v>-23.75755</v>
      </c>
      <c r="W53" s="32">
        <f t="shared" si="7"/>
        <v>0.21770353</v>
      </c>
      <c r="X53" s="37">
        <f t="shared" si="8"/>
        <v>1522.18308176</v>
      </c>
      <c r="Y53" s="38">
        <f t="shared" si="9"/>
        <v>27968</v>
      </c>
      <c r="Z53" s="38">
        <f t="shared" si="10"/>
        <v>6088.73232704</v>
      </c>
      <c r="AA53" s="81">
        <f t="shared" si="11"/>
        <v>0.699674270594966</v>
      </c>
      <c r="AB53" s="81">
        <f t="shared" si="12"/>
        <v>0.63943852199079</v>
      </c>
      <c r="AC53" s="71"/>
      <c r="AD53" s="71"/>
      <c r="AE53" s="98">
        <f>VLOOKUP(B53,[2]查询时间段分门店销售汇总!$D:$L,9,0)</f>
        <v>12575.82</v>
      </c>
      <c r="AF53" s="98">
        <f>VLOOKUP(B53,[2]查询时间段分门店销售汇总!$D:$M,10,0)</f>
        <v>2825.58</v>
      </c>
      <c r="AG53" s="41">
        <f t="shared" si="13"/>
        <v>5411.2</v>
      </c>
      <c r="AH53" s="28">
        <v>0.2350734925</v>
      </c>
      <c r="AI53" s="43">
        <f t="shared" si="14"/>
        <v>1272.029682616</v>
      </c>
      <c r="AJ53" s="43">
        <f t="shared" si="15"/>
        <v>16233.6</v>
      </c>
      <c r="AK53" s="43">
        <f t="shared" si="16"/>
        <v>3816.089047848</v>
      </c>
      <c r="AL53" s="28">
        <f t="shared" si="17"/>
        <v>0.774678444707274</v>
      </c>
      <c r="AM53" s="28">
        <f t="shared" si="18"/>
        <v>0.740438696417062</v>
      </c>
      <c r="AN53" s="43">
        <f t="shared" si="19"/>
        <v>6276.992</v>
      </c>
      <c r="AP53" s="28">
        <f t="shared" si="20"/>
        <v>0.2256705528</v>
      </c>
      <c r="AQ53" s="43">
        <f t="shared" si="21"/>
        <v>1416.53225456118</v>
      </c>
      <c r="AR53" s="43">
        <f t="shared" si="22"/>
        <v>18830.976</v>
      </c>
      <c r="AS53" s="43">
        <f t="shared" si="23"/>
        <v>4249.59676368353</v>
      </c>
      <c r="AT53" s="107">
        <f t="shared" si="24"/>
        <v>0.667826245437305</v>
      </c>
      <c r="AU53" s="107">
        <f t="shared" si="25"/>
        <v>0.664905438592908</v>
      </c>
    </row>
    <row r="54" spans="1:47">
      <c r="A54" s="25">
        <v>85</v>
      </c>
      <c r="B54" s="26">
        <v>594</v>
      </c>
      <c r="C54" s="27" t="s">
        <v>94</v>
      </c>
      <c r="D54" s="26" t="s">
        <v>61</v>
      </c>
      <c r="E54" s="25">
        <v>4200</v>
      </c>
      <c r="F54" s="28">
        <v>0.3197</v>
      </c>
      <c r="G54" s="25">
        <f t="shared" si="0"/>
        <v>1342.74</v>
      </c>
      <c r="H54" s="29">
        <f>VLOOKUP(B54,[3]Sheet2!$A:$C,3,0)</f>
        <v>2</v>
      </c>
      <c r="J54" s="30">
        <f>VLOOKUP(B54,[1]查询时间段分门店销售汇总!$D:$L,9,0)</f>
        <v>20900.49</v>
      </c>
      <c r="K54" s="30">
        <f>VLOOKUP(B54,[1]查询时间段分门店销售汇总!$D:$M,10,0)</f>
        <v>6272.14</v>
      </c>
      <c r="L54" s="31">
        <f>E54*1.55</f>
        <v>6510</v>
      </c>
      <c r="M54" s="32">
        <v>0.2989195</v>
      </c>
      <c r="N54" s="37">
        <f t="shared" si="1"/>
        <v>1945.965945</v>
      </c>
      <c r="O54" s="37">
        <f t="shared" si="2"/>
        <v>26040</v>
      </c>
      <c r="P54" s="37">
        <f t="shared" si="3"/>
        <v>7783.86378</v>
      </c>
      <c r="Q54" s="81">
        <f t="shared" si="4"/>
        <v>0.802630184331797</v>
      </c>
      <c r="R54" s="81">
        <f t="shared" si="5"/>
        <v>0.805787482575909</v>
      </c>
      <c r="S54" s="82">
        <f t="shared" si="6"/>
        <v>7486.5</v>
      </c>
      <c r="T54" s="83"/>
      <c r="U54" s="82">
        <f t="shared" si="30"/>
        <v>-51.3951</v>
      </c>
      <c r="V54" s="84">
        <f t="shared" si="29"/>
        <v>-25.69755</v>
      </c>
      <c r="W54" s="32">
        <f t="shared" si="7"/>
        <v>0.28098433</v>
      </c>
      <c r="X54" s="37">
        <f t="shared" si="8"/>
        <v>2103.589186545</v>
      </c>
      <c r="Y54" s="38">
        <f t="shared" si="9"/>
        <v>29946</v>
      </c>
      <c r="Z54" s="38">
        <f t="shared" si="10"/>
        <v>8414.35674618</v>
      </c>
      <c r="AA54" s="81">
        <f t="shared" si="11"/>
        <v>0.697939290723302</v>
      </c>
      <c r="AB54" s="81">
        <f t="shared" si="12"/>
        <v>0.745409327082247</v>
      </c>
      <c r="AC54" s="71"/>
      <c r="AD54" s="71"/>
      <c r="AE54" s="98">
        <f>VLOOKUP(B54,[2]查询时间段分门店销售汇总!$D:$L,9,0)</f>
        <v>19582.39</v>
      </c>
      <c r="AF54" s="98">
        <f>VLOOKUP(B54,[2]查询时间段分门店销售汇总!$D:$M,10,0)</f>
        <v>5339.13</v>
      </c>
      <c r="AG54" s="41">
        <f t="shared" si="13"/>
        <v>5793.9</v>
      </c>
      <c r="AH54" s="28">
        <v>0.3034032925</v>
      </c>
      <c r="AI54" s="43">
        <f t="shared" si="14"/>
        <v>1757.88833641575</v>
      </c>
      <c r="AJ54" s="43">
        <f t="shared" si="15"/>
        <v>17381.7</v>
      </c>
      <c r="AK54" s="43">
        <f t="shared" si="16"/>
        <v>5273.66500924725</v>
      </c>
      <c r="AL54" s="103">
        <f t="shared" si="17"/>
        <v>1.12660959514892</v>
      </c>
      <c r="AM54" s="103">
        <f t="shared" si="18"/>
        <v>1.01241356639793</v>
      </c>
      <c r="AN54" s="43">
        <f t="shared" si="19"/>
        <v>6720.924</v>
      </c>
      <c r="AO54" s="44" t="s">
        <v>40</v>
      </c>
      <c r="AP54" s="28">
        <f t="shared" si="20"/>
        <v>0.2912671608</v>
      </c>
      <c r="AQ54" s="43">
        <f t="shared" si="21"/>
        <v>1957.58445143258</v>
      </c>
      <c r="AR54" s="43">
        <f t="shared" si="22"/>
        <v>20162.772</v>
      </c>
      <c r="AS54" s="43">
        <f t="shared" si="23"/>
        <v>5872.75335429774</v>
      </c>
      <c r="AT54" s="107">
        <f t="shared" si="24"/>
        <v>0.971215168231828</v>
      </c>
      <c r="AU54" s="107">
        <f t="shared" si="25"/>
        <v>0.909135745687799</v>
      </c>
    </row>
    <row r="55" spans="1:48">
      <c r="A55" s="25">
        <v>72</v>
      </c>
      <c r="B55" s="26">
        <v>114286</v>
      </c>
      <c r="C55" s="27" t="s">
        <v>95</v>
      </c>
      <c r="D55" s="26" t="s">
        <v>39</v>
      </c>
      <c r="E55" s="25">
        <v>5000</v>
      </c>
      <c r="F55" s="28">
        <v>0.2733</v>
      </c>
      <c r="G55" s="25">
        <f t="shared" si="0"/>
        <v>1366.5</v>
      </c>
      <c r="H55" s="29">
        <f>VLOOKUP(B55,[3]Sheet2!$A:$C,3,0)</f>
        <v>2</v>
      </c>
      <c r="I55" s="25">
        <f>VLOOKUP(B55,[3]实习生!$A:$C,3,0)</f>
        <v>1</v>
      </c>
      <c r="J55" s="30">
        <f>VLOOKUP(B55,[1]查询时间段分门店销售汇总!$D:$L,9,0)</f>
        <v>24078.01</v>
      </c>
      <c r="K55" s="30">
        <f>VLOOKUP(B55,[1]查询时间段分门店销售汇总!$D:$M,10,0)</f>
        <v>6947.97</v>
      </c>
      <c r="L55" s="31">
        <f>E55*1.5</f>
        <v>7500</v>
      </c>
      <c r="M55" s="32">
        <v>0.2555355</v>
      </c>
      <c r="N55" s="37">
        <f t="shared" si="1"/>
        <v>1916.51625</v>
      </c>
      <c r="O55" s="37">
        <f t="shared" si="2"/>
        <v>30000</v>
      </c>
      <c r="P55" s="37">
        <f t="shared" si="3"/>
        <v>7666.065</v>
      </c>
      <c r="Q55" s="81">
        <f t="shared" si="4"/>
        <v>0.802600333333333</v>
      </c>
      <c r="R55" s="81">
        <f t="shared" si="5"/>
        <v>0.906328083573515</v>
      </c>
      <c r="S55" s="82">
        <f t="shared" si="6"/>
        <v>8625</v>
      </c>
      <c r="T55" s="83"/>
      <c r="U55" s="82">
        <f t="shared" si="30"/>
        <v>-59.2199</v>
      </c>
      <c r="V55" s="84">
        <f t="shared" si="29"/>
        <v>-29.60995</v>
      </c>
      <c r="W55" s="32">
        <f t="shared" si="7"/>
        <v>0.24020337</v>
      </c>
      <c r="X55" s="37">
        <f t="shared" si="8"/>
        <v>2071.75406625</v>
      </c>
      <c r="Y55" s="38">
        <f t="shared" si="9"/>
        <v>34500</v>
      </c>
      <c r="Z55" s="38">
        <f t="shared" si="10"/>
        <v>8287.016265</v>
      </c>
      <c r="AA55" s="81">
        <f t="shared" si="11"/>
        <v>0.697913333333333</v>
      </c>
      <c r="AB55" s="81">
        <f t="shared" si="12"/>
        <v>0.838416358532391</v>
      </c>
      <c r="AC55" s="71"/>
      <c r="AD55" s="71"/>
      <c r="AE55" s="98">
        <f>VLOOKUP(B55,[2]查询时间段分门店销售汇总!$D:$L,9,0)</f>
        <v>23705.07</v>
      </c>
      <c r="AF55" s="98">
        <f>VLOOKUP(B55,[2]查询时间段分门店销售汇总!$D:$M,10,0)</f>
        <v>6600.95</v>
      </c>
      <c r="AG55" s="41">
        <f t="shared" si="13"/>
        <v>6675</v>
      </c>
      <c r="AH55" s="28">
        <v>0.2593685325</v>
      </c>
      <c r="AI55" s="43">
        <f t="shared" si="14"/>
        <v>1731.2849544375</v>
      </c>
      <c r="AJ55" s="43">
        <f t="shared" si="15"/>
        <v>20025</v>
      </c>
      <c r="AK55" s="43">
        <f t="shared" si="16"/>
        <v>5193.8548633125</v>
      </c>
      <c r="AL55" s="103">
        <f t="shared" si="17"/>
        <v>1.18377378277154</v>
      </c>
      <c r="AM55" s="103">
        <f t="shared" si="18"/>
        <v>1.27091537474925</v>
      </c>
      <c r="AN55" s="43">
        <f t="shared" si="19"/>
        <v>7743</v>
      </c>
      <c r="AP55" s="28">
        <f t="shared" si="20"/>
        <v>0.2489937912</v>
      </c>
      <c r="AQ55" s="43">
        <f t="shared" si="21"/>
        <v>1927.9589252616</v>
      </c>
      <c r="AR55" s="43">
        <f t="shared" si="22"/>
        <v>23229</v>
      </c>
      <c r="AS55" s="43">
        <f t="shared" si="23"/>
        <v>5783.8767757848</v>
      </c>
      <c r="AT55" s="109">
        <f t="shared" si="24"/>
        <v>1.02049464032029</v>
      </c>
      <c r="AU55" s="109">
        <f t="shared" si="25"/>
        <v>1.14126739830212</v>
      </c>
      <c r="AV55" s="44">
        <f>(AF55-AK55)*0.1</f>
        <v>140.70951366875</v>
      </c>
    </row>
    <row r="56" spans="1:47">
      <c r="A56" s="25">
        <v>68</v>
      </c>
      <c r="B56" s="26">
        <v>716</v>
      </c>
      <c r="C56" s="27" t="s">
        <v>96</v>
      </c>
      <c r="D56" s="26" t="s">
        <v>61</v>
      </c>
      <c r="E56" s="25">
        <v>5000</v>
      </c>
      <c r="F56" s="28">
        <v>0.3364</v>
      </c>
      <c r="G56" s="25">
        <f t="shared" si="0"/>
        <v>1682</v>
      </c>
      <c r="H56" s="29">
        <f>VLOOKUP(B56,[3]Sheet2!$A:$C,3,0)</f>
        <v>3</v>
      </c>
      <c r="J56" s="30">
        <f>VLOOKUP(B56,[1]查询时间段分门店销售汇总!$D:$L,9,0)</f>
        <v>23897.94</v>
      </c>
      <c r="K56" s="30">
        <f>VLOOKUP(B56,[1]查询时间段分门店销售汇总!$D:$M,10,0)</f>
        <v>6637.91</v>
      </c>
      <c r="L56" s="31">
        <f>E56*1.5</f>
        <v>7500</v>
      </c>
      <c r="M56" s="32">
        <v>0.314534</v>
      </c>
      <c r="N56" s="37">
        <f t="shared" si="1"/>
        <v>2359.005</v>
      </c>
      <c r="O56" s="37">
        <f t="shared" si="2"/>
        <v>30000</v>
      </c>
      <c r="P56" s="37">
        <f t="shared" si="3"/>
        <v>9436.02</v>
      </c>
      <c r="Q56" s="81">
        <f t="shared" si="4"/>
        <v>0.796598</v>
      </c>
      <c r="R56" s="81">
        <f t="shared" si="5"/>
        <v>0.703465020209792</v>
      </c>
      <c r="S56" s="82">
        <f t="shared" si="6"/>
        <v>8625</v>
      </c>
      <c r="T56" s="83"/>
      <c r="U56" s="82">
        <f t="shared" si="30"/>
        <v>-61.0206</v>
      </c>
      <c r="V56" s="84">
        <f t="shared" si="29"/>
        <v>-30.5103</v>
      </c>
      <c r="W56" s="32">
        <f t="shared" si="7"/>
        <v>0.29566196</v>
      </c>
      <c r="X56" s="37">
        <f t="shared" si="8"/>
        <v>2550.084405</v>
      </c>
      <c r="Y56" s="38">
        <f t="shared" si="9"/>
        <v>34500</v>
      </c>
      <c r="Z56" s="38">
        <f t="shared" si="10"/>
        <v>10200.33762</v>
      </c>
      <c r="AA56" s="81">
        <f t="shared" si="11"/>
        <v>0.692693913043478</v>
      </c>
      <c r="AB56" s="81">
        <f t="shared" si="12"/>
        <v>0.650753950240325</v>
      </c>
      <c r="AC56" s="71"/>
      <c r="AD56" s="71"/>
      <c r="AE56" s="98">
        <f>VLOOKUP(B56,[2]查询时间段分门店销售汇总!$D:$L,9,0)</f>
        <v>19145.81</v>
      </c>
      <c r="AF56" s="98">
        <f>VLOOKUP(B56,[2]查询时间段分门店销售汇总!$D:$M,10,0)</f>
        <v>5471.61</v>
      </c>
      <c r="AG56" s="41">
        <f t="shared" si="13"/>
        <v>6675</v>
      </c>
      <c r="AH56" s="28">
        <v>0.31925201</v>
      </c>
      <c r="AI56" s="43">
        <f t="shared" si="14"/>
        <v>2131.00716675</v>
      </c>
      <c r="AJ56" s="43">
        <f t="shared" si="15"/>
        <v>20025</v>
      </c>
      <c r="AK56" s="43">
        <f t="shared" si="16"/>
        <v>6393.02150025</v>
      </c>
      <c r="AL56" s="28">
        <f t="shared" si="17"/>
        <v>0.956095380774033</v>
      </c>
      <c r="AM56" s="28">
        <f t="shared" si="18"/>
        <v>0.855872297596063</v>
      </c>
      <c r="AN56" s="43">
        <f t="shared" si="19"/>
        <v>7743</v>
      </c>
      <c r="AP56" s="28">
        <f t="shared" si="20"/>
        <v>0.3064819296</v>
      </c>
      <c r="AQ56" s="43">
        <f t="shared" si="21"/>
        <v>2373.0895808928</v>
      </c>
      <c r="AR56" s="43">
        <f t="shared" si="22"/>
        <v>23229</v>
      </c>
      <c r="AS56" s="43">
        <f t="shared" si="23"/>
        <v>7119.2687426784</v>
      </c>
      <c r="AT56" s="107">
        <f t="shared" si="24"/>
        <v>0.824220155839683</v>
      </c>
      <c r="AU56" s="107">
        <f t="shared" si="25"/>
        <v>0.768563485628649</v>
      </c>
    </row>
    <row r="57" spans="1:47">
      <c r="A57" s="25">
        <v>99</v>
      </c>
      <c r="B57" s="26">
        <v>733</v>
      </c>
      <c r="C57" s="27" t="s">
        <v>97</v>
      </c>
      <c r="D57" s="26" t="s">
        <v>51</v>
      </c>
      <c r="E57" s="25">
        <v>3800</v>
      </c>
      <c r="F57" s="28">
        <v>0.3476</v>
      </c>
      <c r="G57" s="25">
        <f t="shared" si="0"/>
        <v>1320.88</v>
      </c>
      <c r="H57" s="29">
        <f>VLOOKUP(B57,[3]Sheet2!$A:$C,3,0)</f>
        <v>3</v>
      </c>
      <c r="J57" s="30">
        <f>VLOOKUP(B57,[1]查询时间段分门店销售汇总!$D:$L,9,0)</f>
        <v>19368.24</v>
      </c>
      <c r="K57" s="30">
        <f>VLOOKUP(B57,[1]查询时间段分门店销售汇总!$D:$M,10,0)</f>
        <v>6211.61</v>
      </c>
      <c r="L57" s="31">
        <f>E57*1.6</f>
        <v>6080</v>
      </c>
      <c r="M57" s="32">
        <v>0.31</v>
      </c>
      <c r="N57" s="37">
        <f t="shared" si="1"/>
        <v>1884.8</v>
      </c>
      <c r="O57" s="37">
        <f t="shared" si="2"/>
        <v>24320</v>
      </c>
      <c r="P57" s="37">
        <f t="shared" si="3"/>
        <v>7539.2</v>
      </c>
      <c r="Q57" s="81">
        <f t="shared" si="4"/>
        <v>0.796391447368421</v>
      </c>
      <c r="R57" s="81">
        <f t="shared" si="5"/>
        <v>0.823908372241087</v>
      </c>
      <c r="S57" s="82">
        <f t="shared" si="6"/>
        <v>6992</v>
      </c>
      <c r="T57" s="83"/>
      <c r="U57" s="82">
        <f t="shared" si="30"/>
        <v>-49.5176</v>
      </c>
      <c r="V57" s="84">
        <f t="shared" si="29"/>
        <v>-24.7588</v>
      </c>
      <c r="W57" s="32">
        <f t="shared" si="7"/>
        <v>0.2914</v>
      </c>
      <c r="X57" s="37">
        <f t="shared" si="8"/>
        <v>2037.4688</v>
      </c>
      <c r="Y57" s="38">
        <f t="shared" si="9"/>
        <v>27968</v>
      </c>
      <c r="Z57" s="38">
        <f t="shared" si="10"/>
        <v>8149.8752</v>
      </c>
      <c r="AA57" s="81">
        <f t="shared" si="11"/>
        <v>0.692514302059497</v>
      </c>
      <c r="AB57" s="81">
        <f t="shared" si="12"/>
        <v>0.762172407253549</v>
      </c>
      <c r="AC57" s="71"/>
      <c r="AD57" s="71"/>
      <c r="AE57" s="98">
        <f>VLOOKUP(B57,[2]查询时间段分门店销售汇总!$D:$L,9,0)</f>
        <v>11410.72</v>
      </c>
      <c r="AF57" s="98">
        <f>VLOOKUP(B57,[2]查询时间段分门店销售汇总!$D:$M,10,0)</f>
        <v>4420.11</v>
      </c>
      <c r="AG57" s="41">
        <f t="shared" si="13"/>
        <v>5411.2</v>
      </c>
      <c r="AH57" s="28">
        <v>0.31465</v>
      </c>
      <c r="AI57" s="43">
        <f t="shared" si="14"/>
        <v>1702.63408</v>
      </c>
      <c r="AJ57" s="43">
        <f t="shared" si="15"/>
        <v>16233.6</v>
      </c>
      <c r="AK57" s="43">
        <f t="shared" si="16"/>
        <v>5107.90224</v>
      </c>
      <c r="AL57" s="28">
        <f t="shared" si="17"/>
        <v>0.70290754977331</v>
      </c>
      <c r="AM57" s="28">
        <f t="shared" si="18"/>
        <v>0.865347415106363</v>
      </c>
      <c r="AN57" s="43">
        <f t="shared" si="19"/>
        <v>6276.992</v>
      </c>
      <c r="AP57" s="28">
        <f t="shared" si="20"/>
        <v>0.302064</v>
      </c>
      <c r="AQ57" s="43">
        <f t="shared" si="21"/>
        <v>1896.053311488</v>
      </c>
      <c r="AR57" s="43">
        <f t="shared" si="22"/>
        <v>18830.976</v>
      </c>
      <c r="AS57" s="43">
        <f t="shared" si="23"/>
        <v>5688.159934464</v>
      </c>
      <c r="AT57" s="107">
        <f t="shared" si="24"/>
        <v>0.605954784287336</v>
      </c>
      <c r="AU57" s="107">
        <f t="shared" si="25"/>
        <v>0.777072032243501</v>
      </c>
    </row>
    <row r="58" spans="1:47">
      <c r="A58" s="25">
        <v>70</v>
      </c>
      <c r="B58" s="26">
        <v>355</v>
      </c>
      <c r="C58" s="27" t="s">
        <v>98</v>
      </c>
      <c r="D58" s="26" t="s">
        <v>42</v>
      </c>
      <c r="E58" s="25">
        <v>5000</v>
      </c>
      <c r="F58" s="28">
        <v>0.3282</v>
      </c>
      <c r="G58" s="25">
        <f t="shared" si="0"/>
        <v>1641</v>
      </c>
      <c r="H58" s="29">
        <f>VLOOKUP(B58,[3]Sheet2!$A:$C,3,0)</f>
        <v>2</v>
      </c>
      <c r="J58" s="30">
        <f>VLOOKUP(B58,[1]查询时间段分门店销售汇总!$D:$L,9,0)</f>
        <v>23670.69</v>
      </c>
      <c r="K58" s="30">
        <f>VLOOKUP(B58,[1]查询时间段分门店销售汇总!$D:$M,10,0)</f>
        <v>5988.99</v>
      </c>
      <c r="L58" s="31">
        <f>E58*1.5</f>
        <v>7500</v>
      </c>
      <c r="M58" s="32">
        <v>0.306867</v>
      </c>
      <c r="N58" s="37">
        <f t="shared" si="1"/>
        <v>2301.5025</v>
      </c>
      <c r="O58" s="37">
        <f t="shared" si="2"/>
        <v>30000</v>
      </c>
      <c r="P58" s="37">
        <f t="shared" si="3"/>
        <v>9206.01</v>
      </c>
      <c r="Q58" s="81">
        <f t="shared" si="4"/>
        <v>0.789023</v>
      </c>
      <c r="R58" s="81">
        <f t="shared" si="5"/>
        <v>0.650552193621341</v>
      </c>
      <c r="S58" s="82">
        <f t="shared" si="6"/>
        <v>8625</v>
      </c>
      <c r="T58" s="83"/>
      <c r="U58" s="82">
        <f t="shared" si="30"/>
        <v>-63.2931</v>
      </c>
      <c r="V58" s="84">
        <f t="shared" si="29"/>
        <v>-31.64655</v>
      </c>
      <c r="W58" s="32">
        <f t="shared" si="7"/>
        <v>0.28845498</v>
      </c>
      <c r="X58" s="37">
        <f t="shared" si="8"/>
        <v>2487.9242025</v>
      </c>
      <c r="Y58" s="38">
        <f t="shared" si="9"/>
        <v>34500</v>
      </c>
      <c r="Z58" s="38">
        <f t="shared" si="10"/>
        <v>9951.69681</v>
      </c>
      <c r="AA58" s="81">
        <f t="shared" si="11"/>
        <v>0.686106956521739</v>
      </c>
      <c r="AB58" s="81">
        <f t="shared" si="12"/>
        <v>0.601805914543331</v>
      </c>
      <c r="AC58" s="71"/>
      <c r="AD58" s="71"/>
      <c r="AE58" s="98">
        <f>VLOOKUP(B58,[2]查询时间段分门店销售汇总!$D:$L,9,0)</f>
        <v>13691.25</v>
      </c>
      <c r="AF58" s="98">
        <f>VLOOKUP(B58,[2]查询时间段分门店销售汇总!$D:$M,10,0)</f>
        <v>3737.71</v>
      </c>
      <c r="AG58" s="41">
        <f t="shared" si="13"/>
        <v>6675</v>
      </c>
      <c r="AH58" s="28">
        <v>0.311470005</v>
      </c>
      <c r="AI58" s="43">
        <f t="shared" si="14"/>
        <v>2079.062283375</v>
      </c>
      <c r="AJ58" s="43">
        <f t="shared" si="15"/>
        <v>20025</v>
      </c>
      <c r="AK58" s="43">
        <f t="shared" si="16"/>
        <v>6237.186850125</v>
      </c>
      <c r="AL58" s="28">
        <f t="shared" si="17"/>
        <v>0.683707865168539</v>
      </c>
      <c r="AM58" s="28">
        <f t="shared" si="18"/>
        <v>0.599262149718201</v>
      </c>
      <c r="AN58" s="43">
        <f t="shared" si="19"/>
        <v>7743</v>
      </c>
      <c r="AP58" s="28">
        <f t="shared" si="20"/>
        <v>0.2990112048</v>
      </c>
      <c r="AQ58" s="43">
        <f t="shared" si="21"/>
        <v>2315.2437587664</v>
      </c>
      <c r="AR58" s="43">
        <f t="shared" si="22"/>
        <v>23229</v>
      </c>
      <c r="AS58" s="43">
        <f t="shared" si="23"/>
        <v>6945.7312762992</v>
      </c>
      <c r="AT58" s="107">
        <f t="shared" si="24"/>
        <v>0.589403332041844</v>
      </c>
      <c r="AU58" s="107">
        <f t="shared" si="25"/>
        <v>0.538130522376258</v>
      </c>
    </row>
    <row r="59" spans="1:47">
      <c r="A59" s="25">
        <v>46</v>
      </c>
      <c r="B59" s="26">
        <v>105267</v>
      </c>
      <c r="C59" s="27" t="s">
        <v>99</v>
      </c>
      <c r="D59" s="26" t="s">
        <v>37</v>
      </c>
      <c r="E59" s="25">
        <v>6500</v>
      </c>
      <c r="F59" s="28">
        <v>0.3422</v>
      </c>
      <c r="G59" s="25">
        <f t="shared" si="0"/>
        <v>2224.3</v>
      </c>
      <c r="H59" s="29">
        <f>VLOOKUP(B59,[3]Sheet2!$A:$C,3,0)</f>
        <v>3</v>
      </c>
      <c r="I59" s="25">
        <f>VLOOKUP(B59,[3]实习生!$A:$C,3,0)</f>
        <v>1</v>
      </c>
      <c r="J59" s="30">
        <f>VLOOKUP(B59,[1]查询时间段分门店销售汇总!$D:$L,9,0)</f>
        <v>29620.06</v>
      </c>
      <c r="K59" s="30">
        <f>VLOOKUP(B59,[1]查询时间段分门店销售汇总!$D:$M,10,0)</f>
        <v>9462.06</v>
      </c>
      <c r="L59" s="31">
        <f>E59*1.45</f>
        <v>9425</v>
      </c>
      <c r="M59" s="32">
        <v>0.319957</v>
      </c>
      <c r="N59" s="37">
        <f t="shared" si="1"/>
        <v>3015.594725</v>
      </c>
      <c r="O59" s="37">
        <f t="shared" si="2"/>
        <v>37700</v>
      </c>
      <c r="P59" s="37">
        <f t="shared" si="3"/>
        <v>12062.3789</v>
      </c>
      <c r="Q59" s="81">
        <f t="shared" si="4"/>
        <v>0.785677984084881</v>
      </c>
      <c r="R59" s="81">
        <f t="shared" si="5"/>
        <v>0.784427357028223</v>
      </c>
      <c r="S59" s="82">
        <f t="shared" si="6"/>
        <v>10838.75</v>
      </c>
      <c r="T59" s="83"/>
      <c r="U59" s="82">
        <f t="shared" si="30"/>
        <v>-80.7994</v>
      </c>
      <c r="V59" s="84">
        <f t="shared" si="29"/>
        <v>-40.3997</v>
      </c>
      <c r="W59" s="32">
        <f t="shared" si="7"/>
        <v>0.30075958</v>
      </c>
      <c r="X59" s="37">
        <f t="shared" si="8"/>
        <v>3259.857897725</v>
      </c>
      <c r="Y59" s="38">
        <f t="shared" si="9"/>
        <v>43355</v>
      </c>
      <c r="Z59" s="38">
        <f t="shared" si="10"/>
        <v>13039.4315909</v>
      </c>
      <c r="AA59" s="81">
        <f t="shared" si="11"/>
        <v>0.683198247030331</v>
      </c>
      <c r="AB59" s="81">
        <f t="shared" si="12"/>
        <v>0.72564972898078</v>
      </c>
      <c r="AC59" s="71"/>
      <c r="AD59" s="71"/>
      <c r="AE59" s="98">
        <f>VLOOKUP(B59,[2]查询时间段分门店销售汇总!$D:$L,9,0)</f>
        <v>23338.87</v>
      </c>
      <c r="AF59" s="98">
        <f>VLOOKUP(B59,[2]查询时间段分门店销售汇总!$D:$M,10,0)</f>
        <v>7001.11</v>
      </c>
      <c r="AG59" s="41">
        <f t="shared" si="13"/>
        <v>8388.25</v>
      </c>
      <c r="AH59" s="28">
        <v>0.324756355</v>
      </c>
      <c r="AI59" s="43">
        <f t="shared" si="14"/>
        <v>2724.13749482875</v>
      </c>
      <c r="AJ59" s="43">
        <f t="shared" si="15"/>
        <v>25164.75</v>
      </c>
      <c r="AK59" s="43">
        <f t="shared" si="16"/>
        <v>8172.41248448625</v>
      </c>
      <c r="AL59" s="28">
        <f t="shared" si="17"/>
        <v>0.927442950953218</v>
      </c>
      <c r="AM59" s="28">
        <f t="shared" si="18"/>
        <v>0.856676044349237</v>
      </c>
      <c r="AN59" s="43">
        <f t="shared" si="19"/>
        <v>9730.37</v>
      </c>
      <c r="AP59" s="28">
        <f t="shared" si="20"/>
        <v>0.3117661008</v>
      </c>
      <c r="AQ59" s="43">
        <f t="shared" si="21"/>
        <v>3033.5995142413</v>
      </c>
      <c r="AR59" s="43">
        <f t="shared" si="22"/>
        <v>29191.11</v>
      </c>
      <c r="AS59" s="43">
        <f t="shared" si="23"/>
        <v>9100.79854272389</v>
      </c>
      <c r="AT59" s="107">
        <f t="shared" si="24"/>
        <v>0.799519785304499</v>
      </c>
      <c r="AU59" s="107">
        <f t="shared" si="25"/>
        <v>0.76928524097453</v>
      </c>
    </row>
    <row r="60" spans="1:47">
      <c r="A60" s="25">
        <v>105</v>
      </c>
      <c r="B60" s="26">
        <v>706</v>
      </c>
      <c r="C60" s="27" t="s">
        <v>100</v>
      </c>
      <c r="D60" s="26" t="s">
        <v>46</v>
      </c>
      <c r="E60" s="25">
        <v>3700</v>
      </c>
      <c r="F60" s="28">
        <v>0.3289</v>
      </c>
      <c r="G60" s="25">
        <f t="shared" si="0"/>
        <v>1216.93</v>
      </c>
      <c r="H60" s="29">
        <f>VLOOKUP(B60,[3]Sheet2!$A:$C,3,0)</f>
        <v>3</v>
      </c>
      <c r="J60" s="30">
        <f>VLOOKUP(B60,[1]查询时间段分门店销售汇总!$D:$L,9,0)</f>
        <v>18603.95</v>
      </c>
      <c r="K60" s="30">
        <f>VLOOKUP(B60,[1]查询时间段分门店销售汇总!$D:$M,10,0)</f>
        <v>5319.91</v>
      </c>
      <c r="L60" s="31">
        <f>E60*1.6</f>
        <v>5920</v>
      </c>
      <c r="M60" s="32">
        <v>0.3075215</v>
      </c>
      <c r="N60" s="37">
        <f t="shared" si="1"/>
        <v>1820.52728</v>
      </c>
      <c r="O60" s="37">
        <f t="shared" si="2"/>
        <v>23680</v>
      </c>
      <c r="P60" s="37">
        <f t="shared" si="3"/>
        <v>7282.10912</v>
      </c>
      <c r="Q60" s="81">
        <f t="shared" si="4"/>
        <v>0.785639780405405</v>
      </c>
      <c r="R60" s="81">
        <f t="shared" si="5"/>
        <v>0.730545218745637</v>
      </c>
      <c r="S60" s="82">
        <f t="shared" si="6"/>
        <v>6808</v>
      </c>
      <c r="T60" s="83"/>
      <c r="U60" s="82">
        <f t="shared" si="30"/>
        <v>-50.7605</v>
      </c>
      <c r="V60" s="84">
        <f t="shared" si="29"/>
        <v>-25.38025</v>
      </c>
      <c r="W60" s="32">
        <f t="shared" si="7"/>
        <v>0.28907021</v>
      </c>
      <c r="X60" s="37">
        <f t="shared" si="8"/>
        <v>1967.98998968</v>
      </c>
      <c r="Y60" s="38">
        <f t="shared" si="9"/>
        <v>27232</v>
      </c>
      <c r="Z60" s="38">
        <f t="shared" si="10"/>
        <v>7871.95995872</v>
      </c>
      <c r="AA60" s="81">
        <f t="shared" si="11"/>
        <v>0.683165026439483</v>
      </c>
      <c r="AB60" s="81">
        <f t="shared" si="12"/>
        <v>0.675805012715668</v>
      </c>
      <c r="AC60" s="71"/>
      <c r="AD60" s="71"/>
      <c r="AE60" s="98">
        <f>VLOOKUP(B60,[2]查询时间段分门店销售汇总!$D:$L,9,0)</f>
        <v>12081.71</v>
      </c>
      <c r="AF60" s="98">
        <f>VLOOKUP(B60,[2]查询时间段分门店销售汇总!$D:$M,10,0)</f>
        <v>3835.57</v>
      </c>
      <c r="AG60" s="41">
        <f t="shared" si="13"/>
        <v>5268.8</v>
      </c>
      <c r="AH60" s="28">
        <v>0.3121343225</v>
      </c>
      <c r="AI60" s="43">
        <f t="shared" si="14"/>
        <v>1644.573318388</v>
      </c>
      <c r="AJ60" s="43">
        <f t="shared" si="15"/>
        <v>15806.4</v>
      </c>
      <c r="AK60" s="43">
        <f t="shared" si="16"/>
        <v>4933.719955164</v>
      </c>
      <c r="AL60" s="28">
        <f t="shared" si="17"/>
        <v>0.7643555774876</v>
      </c>
      <c r="AM60" s="28">
        <f t="shared" si="18"/>
        <v>0.777419479592758</v>
      </c>
      <c r="AN60" s="43">
        <f t="shared" si="19"/>
        <v>6111.808</v>
      </c>
      <c r="AP60" s="28">
        <f t="shared" si="20"/>
        <v>0.2996489496</v>
      </c>
      <c r="AQ60" s="43">
        <f t="shared" si="21"/>
        <v>1831.39684735688</v>
      </c>
      <c r="AR60" s="43">
        <f t="shared" si="22"/>
        <v>18335.424</v>
      </c>
      <c r="AS60" s="43">
        <f t="shared" si="23"/>
        <v>5494.19054207063</v>
      </c>
      <c r="AT60" s="107">
        <f t="shared" si="24"/>
        <v>0.658927221972069</v>
      </c>
      <c r="AU60" s="107">
        <f t="shared" si="25"/>
        <v>0.698113756818209</v>
      </c>
    </row>
    <row r="61" spans="1:47">
      <c r="A61" s="25">
        <v>78</v>
      </c>
      <c r="B61" s="26">
        <v>107728</v>
      </c>
      <c r="C61" s="27" t="s">
        <v>101</v>
      </c>
      <c r="D61" s="26" t="s">
        <v>61</v>
      </c>
      <c r="E61" s="25">
        <v>4600</v>
      </c>
      <c r="F61" s="28">
        <v>0.2802</v>
      </c>
      <c r="G61" s="25">
        <f t="shared" si="0"/>
        <v>1288.92</v>
      </c>
      <c r="H61" s="29">
        <f>VLOOKUP(B61,[3]Sheet2!$A:$C,3,0)</f>
        <v>4</v>
      </c>
      <c r="J61" s="30">
        <f>VLOOKUP(B61,[1]查询时间段分门店销售汇总!$D:$L,9,0)</f>
        <v>22374.41</v>
      </c>
      <c r="K61" s="30">
        <f>VLOOKUP(B61,[1]查询时间段分门店销售汇总!$D:$M,10,0)</f>
        <v>6048.8</v>
      </c>
      <c r="L61" s="31">
        <f>E61*1.55</f>
        <v>7130</v>
      </c>
      <c r="M61" s="32">
        <v>0.261987</v>
      </c>
      <c r="N61" s="37">
        <f t="shared" si="1"/>
        <v>1867.96731</v>
      </c>
      <c r="O61" s="37">
        <f t="shared" si="2"/>
        <v>28520</v>
      </c>
      <c r="P61" s="37">
        <f t="shared" si="3"/>
        <v>7471.86924</v>
      </c>
      <c r="Q61" s="81">
        <f t="shared" si="4"/>
        <v>0.784516479663394</v>
      </c>
      <c r="R61" s="81">
        <f t="shared" si="5"/>
        <v>0.809543074926723</v>
      </c>
      <c r="S61" s="82">
        <f t="shared" si="6"/>
        <v>8199.5</v>
      </c>
      <c r="T61" s="83"/>
      <c r="U61" s="82">
        <f t="shared" si="30"/>
        <v>-61.4559</v>
      </c>
      <c r="V61" s="84">
        <f t="shared" si="29"/>
        <v>-30.72795</v>
      </c>
      <c r="W61" s="32">
        <f t="shared" si="7"/>
        <v>0.24626778</v>
      </c>
      <c r="X61" s="37">
        <f t="shared" si="8"/>
        <v>2019.27266211</v>
      </c>
      <c r="Y61" s="38">
        <f t="shared" si="9"/>
        <v>32798</v>
      </c>
      <c r="Z61" s="38">
        <f t="shared" si="10"/>
        <v>8077.09064844</v>
      </c>
      <c r="AA61" s="81">
        <f t="shared" si="11"/>
        <v>0.68218824318556</v>
      </c>
      <c r="AB61" s="81">
        <f t="shared" si="12"/>
        <v>0.748883510570512</v>
      </c>
      <c r="AC61" s="71"/>
      <c r="AD61" s="71"/>
      <c r="AE61" s="98">
        <f>VLOOKUP(B61,[2]查询时间段分门店销售汇总!$D:$L,9,0)</f>
        <v>18895.21</v>
      </c>
      <c r="AF61" s="98">
        <f>VLOOKUP(B61,[2]查询时间段分门店销售汇总!$D:$M,10,0)</f>
        <v>4325.14</v>
      </c>
      <c r="AG61" s="41">
        <f t="shared" si="13"/>
        <v>6345.7</v>
      </c>
      <c r="AH61" s="28">
        <v>0.265916805</v>
      </c>
      <c r="AI61" s="43">
        <f t="shared" si="14"/>
        <v>1687.4282694885</v>
      </c>
      <c r="AJ61" s="43">
        <f t="shared" si="15"/>
        <v>19037.1</v>
      </c>
      <c r="AK61" s="43">
        <f t="shared" si="16"/>
        <v>5062.2848084655</v>
      </c>
      <c r="AL61" s="28">
        <f t="shared" si="17"/>
        <v>0.992546658892373</v>
      </c>
      <c r="AM61" s="28">
        <f t="shared" si="18"/>
        <v>0.854384959290952</v>
      </c>
      <c r="AN61" s="43">
        <f t="shared" si="19"/>
        <v>7361.012</v>
      </c>
      <c r="AP61" s="28">
        <f t="shared" si="20"/>
        <v>0.2552801328</v>
      </c>
      <c r="AQ61" s="43">
        <f t="shared" si="21"/>
        <v>1879.12012090239</v>
      </c>
      <c r="AR61" s="43">
        <f t="shared" si="22"/>
        <v>22083.036</v>
      </c>
      <c r="AS61" s="43">
        <f t="shared" si="23"/>
        <v>5637.36036270718</v>
      </c>
      <c r="AT61" s="107">
        <f t="shared" si="24"/>
        <v>0.855643671458942</v>
      </c>
      <c r="AU61" s="107">
        <f t="shared" si="25"/>
        <v>0.767227872926502</v>
      </c>
    </row>
    <row r="62" spans="1:47">
      <c r="A62" s="25">
        <v>64</v>
      </c>
      <c r="B62" s="26">
        <v>721</v>
      </c>
      <c r="C62" s="27" t="s">
        <v>102</v>
      </c>
      <c r="D62" s="26" t="s">
        <v>61</v>
      </c>
      <c r="E62" s="25">
        <v>5200</v>
      </c>
      <c r="F62" s="28">
        <v>0.3252</v>
      </c>
      <c r="G62" s="25">
        <f t="shared" si="0"/>
        <v>1691.04</v>
      </c>
      <c r="H62" s="29">
        <f>VLOOKUP(B62,[3]Sheet2!$A:$C,3,0)</f>
        <v>3</v>
      </c>
      <c r="J62" s="30">
        <f>VLOOKUP(B62,[1]查询时间段分门店销售汇总!$D:$L,9,0)</f>
        <v>24412.53</v>
      </c>
      <c r="K62" s="30">
        <f>VLOOKUP(B62,[1]查询时间段分门店销售汇总!$D:$M,10,0)</f>
        <v>7761.95</v>
      </c>
      <c r="L62" s="31">
        <f>E62*1.5</f>
        <v>7800</v>
      </c>
      <c r="M62" s="32">
        <v>0.304062</v>
      </c>
      <c r="N62" s="37">
        <f t="shared" si="1"/>
        <v>2371.6836</v>
      </c>
      <c r="O62" s="37">
        <f t="shared" si="2"/>
        <v>31200</v>
      </c>
      <c r="P62" s="37">
        <f t="shared" si="3"/>
        <v>9486.7344</v>
      </c>
      <c r="Q62" s="81">
        <f t="shared" si="4"/>
        <v>0.782452884615385</v>
      </c>
      <c r="R62" s="81">
        <f t="shared" si="5"/>
        <v>0.818189871532611</v>
      </c>
      <c r="S62" s="82">
        <f t="shared" si="6"/>
        <v>8970</v>
      </c>
      <c r="T62" s="83"/>
      <c r="U62" s="82">
        <f t="shared" si="30"/>
        <v>-67.8747</v>
      </c>
      <c r="V62" s="84">
        <f t="shared" si="29"/>
        <v>-33.93735</v>
      </c>
      <c r="W62" s="32">
        <f t="shared" si="7"/>
        <v>0.28581828</v>
      </c>
      <c r="X62" s="37">
        <f t="shared" si="8"/>
        <v>2563.7899716</v>
      </c>
      <c r="Y62" s="38">
        <f t="shared" si="9"/>
        <v>35880</v>
      </c>
      <c r="Z62" s="38">
        <f t="shared" si="10"/>
        <v>10255.1598864</v>
      </c>
      <c r="AA62" s="81">
        <f t="shared" si="11"/>
        <v>0.68039381270903</v>
      </c>
      <c r="AB62" s="81">
        <f t="shared" si="12"/>
        <v>0.756882397347466</v>
      </c>
      <c r="AC62" s="71"/>
      <c r="AD62" s="71"/>
      <c r="AE62" s="98">
        <f>VLOOKUP(B62,[2]查询时间段分门店销售汇总!$D:$L,9,0)</f>
        <v>19298.04</v>
      </c>
      <c r="AF62" s="98">
        <f>VLOOKUP(B62,[2]查询时间段分门店销售汇总!$D:$M,10,0)</f>
        <v>6440.72</v>
      </c>
      <c r="AG62" s="41">
        <f t="shared" si="13"/>
        <v>6942</v>
      </c>
      <c r="AH62" s="28">
        <v>0.30862293</v>
      </c>
      <c r="AI62" s="43">
        <f t="shared" si="14"/>
        <v>2142.46038006</v>
      </c>
      <c r="AJ62" s="43">
        <f t="shared" si="15"/>
        <v>20826</v>
      </c>
      <c r="AK62" s="43">
        <f t="shared" si="16"/>
        <v>6427.38114018</v>
      </c>
      <c r="AL62" s="28">
        <f t="shared" si="17"/>
        <v>0.926632094497263</v>
      </c>
      <c r="AM62" s="28">
        <f t="shared" si="18"/>
        <v>1.0020753180073</v>
      </c>
      <c r="AN62" s="43">
        <f t="shared" si="19"/>
        <v>8052.72</v>
      </c>
      <c r="AP62" s="28">
        <f t="shared" si="20"/>
        <v>0.2962780128</v>
      </c>
      <c r="AQ62" s="43">
        <f t="shared" si="21"/>
        <v>2385.84387923482</v>
      </c>
      <c r="AR62" s="43">
        <f t="shared" si="22"/>
        <v>24158.16</v>
      </c>
      <c r="AS62" s="43">
        <f t="shared" si="23"/>
        <v>7157.53163770445</v>
      </c>
      <c r="AT62" s="107">
        <f t="shared" si="24"/>
        <v>0.79882077111833</v>
      </c>
      <c r="AU62" s="107">
        <f t="shared" si="25"/>
        <v>0.899852117463452</v>
      </c>
    </row>
    <row r="63" spans="1:47">
      <c r="A63" s="25">
        <v>81</v>
      </c>
      <c r="B63" s="26">
        <v>106865</v>
      </c>
      <c r="C63" s="27" t="s">
        <v>103</v>
      </c>
      <c r="D63" s="26" t="s">
        <v>34</v>
      </c>
      <c r="E63" s="25">
        <v>4500</v>
      </c>
      <c r="F63" s="28">
        <v>0.2881</v>
      </c>
      <c r="G63" s="25">
        <f t="shared" si="0"/>
        <v>1296.45</v>
      </c>
      <c r="H63" s="29">
        <f>VLOOKUP(B63,[3]Sheet2!$A:$C,3,0)</f>
        <v>2</v>
      </c>
      <c r="J63" s="30">
        <f>VLOOKUP(B63,[1]查询时间段分门店销售汇总!$D:$L,9,0)</f>
        <v>21693.6</v>
      </c>
      <c r="K63" s="30">
        <f>VLOOKUP(B63,[1]查询时间段分门店销售汇总!$D:$M,10,0)</f>
        <v>6272.51</v>
      </c>
      <c r="L63" s="31">
        <f>E63*1.55</f>
        <v>6975</v>
      </c>
      <c r="M63" s="32">
        <v>0.2693735</v>
      </c>
      <c r="N63" s="37">
        <f t="shared" si="1"/>
        <v>1878.8801625</v>
      </c>
      <c r="O63" s="37">
        <f t="shared" si="2"/>
        <v>27900</v>
      </c>
      <c r="P63" s="37">
        <f t="shared" si="3"/>
        <v>7515.52065</v>
      </c>
      <c r="Q63" s="81">
        <f t="shared" si="4"/>
        <v>0.777548387096774</v>
      </c>
      <c r="R63" s="81">
        <f t="shared" si="5"/>
        <v>0.834607513186728</v>
      </c>
      <c r="S63" s="82">
        <f t="shared" si="6"/>
        <v>8021.25</v>
      </c>
      <c r="T63" s="83"/>
      <c r="U63" s="82">
        <f t="shared" si="30"/>
        <v>-62.064</v>
      </c>
      <c r="V63" s="84">
        <f t="shared" si="29"/>
        <v>-31.032</v>
      </c>
      <c r="W63" s="32">
        <f t="shared" si="7"/>
        <v>0.25321109</v>
      </c>
      <c r="X63" s="37">
        <f t="shared" si="8"/>
        <v>2031.0694556625</v>
      </c>
      <c r="Y63" s="38">
        <f t="shared" si="9"/>
        <v>32085</v>
      </c>
      <c r="Z63" s="38">
        <f t="shared" si="10"/>
        <v>8124.27782265</v>
      </c>
      <c r="AA63" s="81">
        <f t="shared" si="11"/>
        <v>0.676129032258064</v>
      </c>
      <c r="AB63" s="81">
        <f t="shared" si="12"/>
        <v>0.772069854936843</v>
      </c>
      <c r="AC63" s="71"/>
      <c r="AD63" s="71"/>
      <c r="AE63" s="98">
        <f>VLOOKUP(B63,[2]查询时间段分门店销售汇总!$D:$L,9,0)</f>
        <v>19704.44</v>
      </c>
      <c r="AF63" s="98">
        <f>VLOOKUP(B63,[2]查询时间段分门店销售汇总!$D:$M,10,0)</f>
        <v>5774.97</v>
      </c>
      <c r="AG63" s="41">
        <f t="shared" si="13"/>
        <v>6207.75</v>
      </c>
      <c r="AH63" s="28">
        <v>0.2734141025</v>
      </c>
      <c r="AI63" s="43">
        <f t="shared" si="14"/>
        <v>1697.28639479437</v>
      </c>
      <c r="AJ63" s="43">
        <f t="shared" si="15"/>
        <v>18623.25</v>
      </c>
      <c r="AK63" s="43">
        <f t="shared" si="16"/>
        <v>5091.85918438312</v>
      </c>
      <c r="AL63" s="103">
        <f t="shared" si="17"/>
        <v>1.05805592471776</v>
      </c>
      <c r="AM63" s="103">
        <f t="shared" si="18"/>
        <v>1.13415744443837</v>
      </c>
      <c r="AN63" s="43">
        <f t="shared" si="19"/>
        <v>7200.99</v>
      </c>
      <c r="AO63" s="44" t="s">
        <v>40</v>
      </c>
      <c r="AP63" s="28">
        <f t="shared" si="20"/>
        <v>0.2624775384</v>
      </c>
      <c r="AQ63" s="43">
        <f t="shared" si="21"/>
        <v>1890.09812924302</v>
      </c>
      <c r="AR63" s="43">
        <f t="shared" si="22"/>
        <v>21602.97</v>
      </c>
      <c r="AS63" s="43">
        <f t="shared" si="23"/>
        <v>5670.29438772905</v>
      </c>
      <c r="AT63" s="107">
        <f t="shared" si="24"/>
        <v>0.912117176480826</v>
      </c>
      <c r="AU63" s="107">
        <f t="shared" si="25"/>
        <v>1.01846034881319</v>
      </c>
    </row>
    <row r="64" spans="1:47">
      <c r="A64" s="25">
        <v>62</v>
      </c>
      <c r="B64" s="26">
        <v>105910</v>
      </c>
      <c r="C64" s="27" t="s">
        <v>104</v>
      </c>
      <c r="D64" s="26" t="s">
        <v>37</v>
      </c>
      <c r="E64" s="25">
        <v>5400</v>
      </c>
      <c r="F64" s="28">
        <v>0.3296</v>
      </c>
      <c r="G64" s="25">
        <f t="shared" si="0"/>
        <v>1779.84</v>
      </c>
      <c r="H64" s="29">
        <f>VLOOKUP(B64,[3]Sheet2!$A:$C,3,0)</f>
        <v>2</v>
      </c>
      <c r="J64" s="30">
        <f>VLOOKUP(B64,[1]查询时间段分门店销售汇总!$D:$L,9,0)</f>
        <v>24998.84</v>
      </c>
      <c r="K64" s="30">
        <f>VLOOKUP(B64,[1]查询时间段分门店销售汇总!$D:$M,10,0)</f>
        <v>7913.51</v>
      </c>
      <c r="L64" s="31">
        <f>E64*1.5</f>
        <v>8100</v>
      </c>
      <c r="M64" s="32">
        <v>0.308176</v>
      </c>
      <c r="N64" s="37">
        <f t="shared" si="1"/>
        <v>2496.2256</v>
      </c>
      <c r="O64" s="37">
        <f t="shared" si="2"/>
        <v>32400</v>
      </c>
      <c r="P64" s="37">
        <f t="shared" si="3"/>
        <v>9984.9024</v>
      </c>
      <c r="Q64" s="81">
        <f t="shared" si="4"/>
        <v>0.771569135802469</v>
      </c>
      <c r="R64" s="81">
        <f t="shared" si="5"/>
        <v>0.792547556599051</v>
      </c>
      <c r="S64" s="82">
        <f t="shared" si="6"/>
        <v>9315</v>
      </c>
      <c r="T64" s="83"/>
      <c r="U64" s="82">
        <f t="shared" si="30"/>
        <v>-74.0116</v>
      </c>
      <c r="V64" s="84">
        <f t="shared" si="29"/>
        <v>-37.0058</v>
      </c>
      <c r="W64" s="32">
        <f t="shared" si="7"/>
        <v>0.28968544</v>
      </c>
      <c r="X64" s="37">
        <f t="shared" si="8"/>
        <v>2698.4198736</v>
      </c>
      <c r="Y64" s="38">
        <f t="shared" si="9"/>
        <v>37260</v>
      </c>
      <c r="Z64" s="38">
        <f t="shared" si="10"/>
        <v>10793.6794944</v>
      </c>
      <c r="AA64" s="81">
        <f t="shared" si="11"/>
        <v>0.670929683306495</v>
      </c>
      <c r="AB64" s="81">
        <f t="shared" si="12"/>
        <v>0.733161476964895</v>
      </c>
      <c r="AC64" s="71"/>
      <c r="AD64" s="71"/>
      <c r="AE64" s="98">
        <f>VLOOKUP(B64,[2]查询时间段分门店销售汇总!$D:$L,9,0)</f>
        <v>14287.74</v>
      </c>
      <c r="AF64" s="98">
        <f>VLOOKUP(B64,[2]查询时间段分门店销售汇总!$D:$M,10,0)</f>
        <v>4752.97</v>
      </c>
      <c r="AG64" s="41">
        <f t="shared" si="13"/>
        <v>7209</v>
      </c>
      <c r="AH64" s="28">
        <v>0.31279864</v>
      </c>
      <c r="AI64" s="43">
        <f t="shared" si="14"/>
        <v>2254.96539576</v>
      </c>
      <c r="AJ64" s="43">
        <f t="shared" si="15"/>
        <v>21627</v>
      </c>
      <c r="AK64" s="43">
        <f t="shared" si="16"/>
        <v>6764.89618728</v>
      </c>
      <c r="AL64" s="28">
        <f t="shared" si="17"/>
        <v>0.660643639894576</v>
      </c>
      <c r="AM64" s="28">
        <f t="shared" si="18"/>
        <v>0.702593191147114</v>
      </c>
      <c r="AN64" s="43">
        <f t="shared" si="19"/>
        <v>8362.44</v>
      </c>
      <c r="AP64" s="28">
        <f t="shared" si="20"/>
        <v>0.3002866944</v>
      </c>
      <c r="AQ64" s="43">
        <f t="shared" si="21"/>
        <v>2511.12946471834</v>
      </c>
      <c r="AR64" s="43">
        <f t="shared" si="22"/>
        <v>25087.32</v>
      </c>
      <c r="AS64" s="43">
        <f t="shared" si="23"/>
        <v>7533.38839415501</v>
      </c>
      <c r="AT64" s="107">
        <f t="shared" si="24"/>
        <v>0.569520379219462</v>
      </c>
      <c r="AU64" s="107">
        <f t="shared" si="25"/>
        <v>0.630920609866302</v>
      </c>
    </row>
    <row r="65" spans="1:47">
      <c r="A65" s="25">
        <v>26</v>
      </c>
      <c r="B65" s="26">
        <v>387</v>
      </c>
      <c r="C65" s="27" t="s">
        <v>105</v>
      </c>
      <c r="D65" s="26" t="s">
        <v>51</v>
      </c>
      <c r="E65" s="25">
        <v>7500</v>
      </c>
      <c r="F65" s="28">
        <v>0.2706</v>
      </c>
      <c r="G65" s="25">
        <f t="shared" si="0"/>
        <v>2029.5</v>
      </c>
      <c r="H65" s="29">
        <f>VLOOKUP(B65,[3]Sheet2!$A:$C,3,0)</f>
        <v>2</v>
      </c>
      <c r="I65" s="25">
        <f>VLOOKUP(B65,[3]实习生!$A:$C,3,0)</f>
        <v>1</v>
      </c>
      <c r="J65" s="30">
        <f>VLOOKUP(B65,[1]查询时间段分门店销售汇总!$D:$L,9,0)</f>
        <v>33361.91</v>
      </c>
      <c r="K65" s="30">
        <f>VLOOKUP(B65,[1]查询时间段分门店销售汇总!$D:$M,10,0)</f>
        <v>8982.52</v>
      </c>
      <c r="L65" s="31">
        <f>E65*1.45</f>
        <v>10875</v>
      </c>
      <c r="M65" s="32">
        <v>0.253011</v>
      </c>
      <c r="N65" s="37">
        <f t="shared" si="1"/>
        <v>2751.494625</v>
      </c>
      <c r="O65" s="37">
        <f t="shared" si="2"/>
        <v>43500</v>
      </c>
      <c r="P65" s="37">
        <f t="shared" si="3"/>
        <v>11005.9785</v>
      </c>
      <c r="Q65" s="81">
        <f t="shared" si="4"/>
        <v>0.766940459770115</v>
      </c>
      <c r="R65" s="81">
        <f t="shared" si="5"/>
        <v>0.816149150209588</v>
      </c>
      <c r="S65" s="82">
        <f t="shared" si="6"/>
        <v>12506.25</v>
      </c>
      <c r="T65" s="83"/>
      <c r="U65" s="82">
        <f t="shared" si="30"/>
        <v>-101.3809</v>
      </c>
      <c r="V65" s="84">
        <f t="shared" si="29"/>
        <v>-50.69045</v>
      </c>
      <c r="W65" s="32">
        <f t="shared" si="7"/>
        <v>0.23783034</v>
      </c>
      <c r="X65" s="37">
        <f t="shared" si="8"/>
        <v>2974.365689625</v>
      </c>
      <c r="Y65" s="38">
        <f t="shared" si="9"/>
        <v>50025</v>
      </c>
      <c r="Z65" s="38">
        <f t="shared" si="10"/>
        <v>11897.4627585</v>
      </c>
      <c r="AA65" s="81">
        <f t="shared" si="11"/>
        <v>0.666904747626187</v>
      </c>
      <c r="AB65" s="81">
        <f t="shared" si="12"/>
        <v>0.75499458853801</v>
      </c>
      <c r="AC65" s="71"/>
      <c r="AD65" s="71"/>
      <c r="AE65" s="98">
        <f>VLOOKUP(B65,[2]查询时间段分门店销售汇总!$D:$L,9,0)</f>
        <v>20543.45</v>
      </c>
      <c r="AF65" s="98">
        <f>VLOOKUP(B65,[2]查询时间段分门店销售汇总!$D:$M,10,0)</f>
        <v>5808.75</v>
      </c>
      <c r="AG65" s="41">
        <f t="shared" si="13"/>
        <v>9678.75</v>
      </c>
      <c r="AH65" s="28">
        <v>0.256806165</v>
      </c>
      <c r="AI65" s="43">
        <f t="shared" si="14"/>
        <v>2485.56266949375</v>
      </c>
      <c r="AJ65" s="43">
        <f t="shared" si="15"/>
        <v>29036.25</v>
      </c>
      <c r="AK65" s="43">
        <f t="shared" si="16"/>
        <v>7456.68800848125</v>
      </c>
      <c r="AL65" s="28">
        <f t="shared" si="17"/>
        <v>0.707510439536786</v>
      </c>
      <c r="AM65" s="28">
        <f t="shared" si="18"/>
        <v>0.778998664473171</v>
      </c>
      <c r="AN65" s="43">
        <f t="shared" si="19"/>
        <v>11227.35</v>
      </c>
      <c r="AP65" s="28">
        <f t="shared" si="20"/>
        <v>0.2465339184</v>
      </c>
      <c r="AQ65" s="43">
        <f t="shared" si="21"/>
        <v>2767.92258874824</v>
      </c>
      <c r="AR65" s="43">
        <f t="shared" si="22"/>
        <v>33682.05</v>
      </c>
      <c r="AS65" s="43">
        <f t="shared" si="23"/>
        <v>8303.76776624472</v>
      </c>
      <c r="AT65" s="107">
        <f t="shared" si="24"/>
        <v>0.609922792704126</v>
      </c>
      <c r="AU65" s="107">
        <f t="shared" si="25"/>
        <v>0.69953184668927</v>
      </c>
    </row>
    <row r="66" spans="1:47">
      <c r="A66" s="25">
        <v>135</v>
      </c>
      <c r="B66" s="26">
        <v>117923</v>
      </c>
      <c r="C66" s="27" t="s">
        <v>106</v>
      </c>
      <c r="D66" s="26" t="s">
        <v>61</v>
      </c>
      <c r="E66" s="25">
        <v>2600</v>
      </c>
      <c r="F66" s="28">
        <v>0.3096</v>
      </c>
      <c r="G66" s="25">
        <f t="shared" si="0"/>
        <v>804.96</v>
      </c>
      <c r="H66" s="29">
        <f>VLOOKUP(B66,[3]Sheet2!$A:$C,3,0)</f>
        <v>2</v>
      </c>
      <c r="J66" s="30">
        <f>VLOOKUP(B66,[1]查询时间段分门店销售汇总!$D:$L,9,0)</f>
        <v>12759.47</v>
      </c>
      <c r="K66" s="30">
        <f>VLOOKUP(B66,[1]查询时间段分门店销售汇总!$D:$M,10,0)</f>
        <v>3117.12</v>
      </c>
      <c r="L66" s="31">
        <f>E66*1.6</f>
        <v>4160</v>
      </c>
      <c r="M66" s="32">
        <v>0.289476</v>
      </c>
      <c r="N66" s="37">
        <f t="shared" si="1"/>
        <v>1204.22016</v>
      </c>
      <c r="O66" s="37">
        <f t="shared" si="2"/>
        <v>16640</v>
      </c>
      <c r="P66" s="37">
        <f t="shared" si="3"/>
        <v>4816.88064</v>
      </c>
      <c r="Q66" s="81">
        <f t="shared" si="4"/>
        <v>0.766795072115385</v>
      </c>
      <c r="R66" s="81">
        <f t="shared" si="5"/>
        <v>0.647124193635822</v>
      </c>
      <c r="S66" s="82">
        <f t="shared" si="6"/>
        <v>4784</v>
      </c>
      <c r="T66" s="83"/>
      <c r="U66" s="82">
        <f t="shared" si="30"/>
        <v>-38.8053</v>
      </c>
      <c r="V66" s="84">
        <f t="shared" si="29"/>
        <v>-19.40265</v>
      </c>
      <c r="W66" s="32">
        <f t="shared" si="7"/>
        <v>0.27210744</v>
      </c>
      <c r="X66" s="37">
        <f t="shared" si="8"/>
        <v>1301.76199296</v>
      </c>
      <c r="Y66" s="38">
        <f t="shared" si="9"/>
        <v>19136</v>
      </c>
      <c r="Z66" s="38">
        <f t="shared" si="10"/>
        <v>5207.04797184</v>
      </c>
      <c r="AA66" s="81">
        <f t="shared" si="11"/>
        <v>0.666778323578595</v>
      </c>
      <c r="AB66" s="81">
        <f t="shared" si="12"/>
        <v>0.598634776721389</v>
      </c>
      <c r="AC66" s="71"/>
      <c r="AD66" s="71"/>
      <c r="AE66" s="98">
        <f>VLOOKUP(B66,[2]查询时间段分门店销售汇总!$D:$L,9,0)</f>
        <v>7114.16</v>
      </c>
      <c r="AF66" s="98">
        <f>VLOOKUP(B66,[2]查询时间段分门店销售汇总!$D:$M,10,0)</f>
        <v>2285.43</v>
      </c>
      <c r="AG66" s="41">
        <f t="shared" si="13"/>
        <v>3702.4</v>
      </c>
      <c r="AH66" s="28">
        <v>0.29381814</v>
      </c>
      <c r="AI66" s="43">
        <f t="shared" si="14"/>
        <v>1087.832281536</v>
      </c>
      <c r="AJ66" s="43">
        <f t="shared" si="15"/>
        <v>11107.2</v>
      </c>
      <c r="AK66" s="43">
        <f t="shared" si="16"/>
        <v>3263.496844608</v>
      </c>
      <c r="AL66" s="28">
        <f t="shared" si="17"/>
        <v>0.640499855949294</v>
      </c>
      <c r="AM66" s="28">
        <f t="shared" si="18"/>
        <v>0.700300968201033</v>
      </c>
      <c r="AN66" s="43">
        <f t="shared" si="19"/>
        <v>4294.784</v>
      </c>
      <c r="AP66" s="28">
        <f t="shared" si="20"/>
        <v>0.2820654144</v>
      </c>
      <c r="AQ66" s="43">
        <f t="shared" si="21"/>
        <v>1211.41002871849</v>
      </c>
      <c r="AR66" s="43">
        <f t="shared" si="22"/>
        <v>12884.352</v>
      </c>
      <c r="AS66" s="43">
        <f t="shared" si="23"/>
        <v>3634.23008615547</v>
      </c>
      <c r="AT66" s="107">
        <f t="shared" si="24"/>
        <v>0.55215504823215</v>
      </c>
      <c r="AU66" s="107">
        <f t="shared" si="25"/>
        <v>0.628862220008112</v>
      </c>
    </row>
    <row r="67" spans="1:47">
      <c r="A67" s="25">
        <v>31</v>
      </c>
      <c r="B67" s="26">
        <v>724</v>
      </c>
      <c r="C67" s="27" t="s">
        <v>107</v>
      </c>
      <c r="D67" s="26" t="s">
        <v>42</v>
      </c>
      <c r="E67" s="25">
        <v>7400</v>
      </c>
      <c r="F67" s="28">
        <v>0.311</v>
      </c>
      <c r="G67" s="25">
        <f t="shared" si="0"/>
        <v>2301.4</v>
      </c>
      <c r="H67" s="29">
        <f>VLOOKUP(B67,[3]Sheet2!$A:$C,3,0)</f>
        <v>3</v>
      </c>
      <c r="J67" s="30">
        <f>VLOOKUP(B67,[1]查询时间段分门店销售汇总!$D:$L,9,0)</f>
        <v>32753.43</v>
      </c>
      <c r="K67" s="30">
        <f>VLOOKUP(B67,[1]查询时间段分门店销售汇总!$D:$M,10,0)</f>
        <v>6061.37</v>
      </c>
      <c r="L67" s="31">
        <f>E67*1.45</f>
        <v>10730</v>
      </c>
      <c r="M67" s="32">
        <v>0.290785</v>
      </c>
      <c r="N67" s="37">
        <f t="shared" si="1"/>
        <v>3120.12305</v>
      </c>
      <c r="O67" s="37">
        <f t="shared" si="2"/>
        <v>42920</v>
      </c>
      <c r="P67" s="37">
        <f t="shared" si="3"/>
        <v>12480.4922</v>
      </c>
      <c r="Q67" s="81">
        <f t="shared" si="4"/>
        <v>0.763127446411929</v>
      </c>
      <c r="R67" s="81">
        <f t="shared" si="5"/>
        <v>0.485667544425852</v>
      </c>
      <c r="S67" s="82">
        <f t="shared" si="6"/>
        <v>12339.5</v>
      </c>
      <c r="T67" s="83"/>
      <c r="U67" s="82">
        <f t="shared" si="30"/>
        <v>-101.6657</v>
      </c>
      <c r="V67" s="84">
        <f t="shared" si="29"/>
        <v>-50.83285</v>
      </c>
      <c r="W67" s="32">
        <f t="shared" si="7"/>
        <v>0.2733379</v>
      </c>
      <c r="X67" s="37">
        <f t="shared" si="8"/>
        <v>3372.85301705</v>
      </c>
      <c r="Y67" s="38">
        <f t="shared" si="9"/>
        <v>49358</v>
      </c>
      <c r="Z67" s="38">
        <f t="shared" si="10"/>
        <v>13491.4120682</v>
      </c>
      <c r="AA67" s="81">
        <f t="shared" si="11"/>
        <v>0.66358908383646</v>
      </c>
      <c r="AB67" s="81">
        <f t="shared" si="12"/>
        <v>0.449276174306986</v>
      </c>
      <c r="AC67" s="71"/>
      <c r="AD67" s="71"/>
      <c r="AE67" s="98">
        <f>VLOOKUP(B67,[2]查询时间段分门店销售汇总!$D:$L,9,0)</f>
        <v>22907.43</v>
      </c>
      <c r="AF67" s="98">
        <f>VLOOKUP(B67,[2]查询时间段分门店销售汇总!$D:$M,10,0)</f>
        <v>5413.2</v>
      </c>
      <c r="AG67" s="41">
        <f t="shared" si="13"/>
        <v>9549.7</v>
      </c>
      <c r="AH67" s="28">
        <v>0.295146775</v>
      </c>
      <c r="AI67" s="43">
        <f t="shared" si="14"/>
        <v>2818.5631572175</v>
      </c>
      <c r="AJ67" s="43">
        <f t="shared" si="15"/>
        <v>28649.1</v>
      </c>
      <c r="AK67" s="43">
        <f t="shared" si="16"/>
        <v>8455.6894716525</v>
      </c>
      <c r="AL67" s="28">
        <f t="shared" si="17"/>
        <v>0.799586374441082</v>
      </c>
      <c r="AM67" s="28">
        <f t="shared" si="18"/>
        <v>0.640184341933041</v>
      </c>
      <c r="AN67" s="43">
        <f t="shared" si="19"/>
        <v>11077.652</v>
      </c>
      <c r="AP67" s="28">
        <f t="shared" si="20"/>
        <v>0.283340904</v>
      </c>
      <c r="AQ67" s="43">
        <f t="shared" si="21"/>
        <v>3138.75193187741</v>
      </c>
      <c r="AR67" s="43">
        <f t="shared" si="22"/>
        <v>33232.956</v>
      </c>
      <c r="AS67" s="43">
        <f t="shared" si="23"/>
        <v>9416.25579563222</v>
      </c>
      <c r="AT67" s="107">
        <f t="shared" si="24"/>
        <v>0.689298598656105</v>
      </c>
      <c r="AU67" s="107">
        <f t="shared" si="25"/>
        <v>0.574878180615159</v>
      </c>
    </row>
    <row r="68" spans="1:47">
      <c r="A68" s="25">
        <v>60</v>
      </c>
      <c r="B68" s="26">
        <v>108277</v>
      </c>
      <c r="C68" s="27" t="s">
        <v>108</v>
      </c>
      <c r="D68" s="26" t="s">
        <v>37</v>
      </c>
      <c r="E68" s="25">
        <v>5600</v>
      </c>
      <c r="F68" s="28">
        <v>0.2561</v>
      </c>
      <c r="G68" s="25">
        <f t="shared" ref="G68:G131" si="31">E68*F68</f>
        <v>1434.16</v>
      </c>
      <c r="H68" s="29">
        <f>VLOOKUP(B68,[3]Sheet2!$A:$C,3,0)</f>
        <v>2</v>
      </c>
      <c r="I68" s="25">
        <f>VLOOKUP(B68,[3]实习生!$A:$C,3,0)</f>
        <v>1</v>
      </c>
      <c r="J68" s="30">
        <f>VLOOKUP(B68,[1]查询时间段分门店销售汇总!$D:$L,9,0)</f>
        <v>25508.82</v>
      </c>
      <c r="K68" s="30">
        <f>VLOOKUP(B68,[1]查询时间段分门店销售汇总!$D:$M,10,0)</f>
        <v>6301.16</v>
      </c>
      <c r="L68" s="31">
        <f>E68*1.5</f>
        <v>8400</v>
      </c>
      <c r="M68" s="32">
        <v>0.2394535</v>
      </c>
      <c r="N68" s="37">
        <f t="shared" ref="N68:N131" si="32">L68*M68</f>
        <v>2011.4094</v>
      </c>
      <c r="O68" s="37">
        <f t="shared" ref="O68:O131" si="33">L68*4</f>
        <v>33600</v>
      </c>
      <c r="P68" s="37">
        <f t="shared" ref="P68:P131" si="34">N68*4</f>
        <v>8045.6376</v>
      </c>
      <c r="Q68" s="81">
        <f t="shared" ref="Q68:Q131" si="35">J68/O68</f>
        <v>0.759191071428571</v>
      </c>
      <c r="R68" s="81">
        <f t="shared" ref="R68:R131" si="36">K68/P68</f>
        <v>0.783177208975955</v>
      </c>
      <c r="S68" s="82">
        <f t="shared" ref="S68:S131" si="37">L68*1.15</f>
        <v>9660</v>
      </c>
      <c r="T68" s="83"/>
      <c r="U68" s="82">
        <f t="shared" si="30"/>
        <v>-80.9118</v>
      </c>
      <c r="V68" s="84">
        <f t="shared" si="29"/>
        <v>-40.4559</v>
      </c>
      <c r="W68" s="32">
        <f t="shared" ref="W68:W131" si="38">M68*0.94</f>
        <v>0.22508629</v>
      </c>
      <c r="X68" s="37">
        <f t="shared" ref="X68:X131" si="39">S68*W68</f>
        <v>2174.3335614</v>
      </c>
      <c r="Y68" s="38">
        <f t="shared" ref="Y68:Y131" si="40">S68*4</f>
        <v>38640</v>
      </c>
      <c r="Z68" s="38">
        <f t="shared" ref="Z68:Z131" si="41">X68*4</f>
        <v>8697.3342456</v>
      </c>
      <c r="AA68" s="81">
        <f t="shared" ref="AA68:AA131" si="42">J68/Y68</f>
        <v>0.660166149068323</v>
      </c>
      <c r="AB68" s="81">
        <f t="shared" ref="AB68:AB131" si="43">K68/Z68</f>
        <v>0.724493255296906</v>
      </c>
      <c r="AC68" s="71"/>
      <c r="AD68" s="71"/>
      <c r="AE68" s="98">
        <f>VLOOKUP(B68,[2]查询时间段分门店销售汇总!$D:$L,9,0)</f>
        <v>17271.09</v>
      </c>
      <c r="AF68" s="98">
        <f>VLOOKUP(B68,[2]查询时间段分门店销售汇总!$D:$M,10,0)</f>
        <v>4358.55</v>
      </c>
      <c r="AG68" s="41">
        <f t="shared" ref="AG68:AG131" si="44">L68*0.89</f>
        <v>7476</v>
      </c>
      <c r="AH68" s="28">
        <v>0.2430453025</v>
      </c>
      <c r="AI68" s="43">
        <f t="shared" ref="AI68:AI131" si="45">AG68*AH68</f>
        <v>1817.00668149</v>
      </c>
      <c r="AJ68" s="43">
        <f t="shared" ref="AJ68:AJ131" si="46">AG68*3</f>
        <v>22428</v>
      </c>
      <c r="AK68" s="43">
        <f t="shared" ref="AK68:AK131" si="47">AI68*3</f>
        <v>5451.02004447</v>
      </c>
      <c r="AL68" s="28">
        <f t="shared" ref="AL68:AL131" si="48">AE68/AJ68</f>
        <v>0.770068218298555</v>
      </c>
      <c r="AM68" s="28">
        <f t="shared" ref="AM68:AM131" si="49">AF68/AK68</f>
        <v>0.799584291461504</v>
      </c>
      <c r="AN68" s="43">
        <f t="shared" ref="AN68:AN131" si="50">AG68*1.16</f>
        <v>8672.16</v>
      </c>
      <c r="AP68" s="28">
        <f t="shared" ref="AP68:AP131" si="51">AH68*0.96</f>
        <v>0.2333234904</v>
      </c>
      <c r="AQ68" s="43">
        <f t="shared" ref="AQ68:AQ131" si="52">AN68*AP68</f>
        <v>2023.41864050726</v>
      </c>
      <c r="AR68" s="43">
        <f t="shared" ref="AR68:AR131" si="53">AN68*3</f>
        <v>26016.48</v>
      </c>
      <c r="AS68" s="43">
        <f t="shared" ref="AS68:AS131" si="54">AQ68*3</f>
        <v>6070.25592152179</v>
      </c>
      <c r="AT68" s="107">
        <f t="shared" ref="AT68:AT131" si="55">AE68/AR68</f>
        <v>0.663851912326341</v>
      </c>
      <c r="AU68" s="107">
        <f t="shared" ref="AU68:AU131" si="56">AF68/AS68</f>
        <v>0.718017503108391</v>
      </c>
    </row>
    <row r="69" spans="1:47">
      <c r="A69" s="25">
        <v>71</v>
      </c>
      <c r="B69" s="26">
        <v>391</v>
      </c>
      <c r="C69" s="27" t="s">
        <v>109</v>
      </c>
      <c r="D69" s="26" t="s">
        <v>42</v>
      </c>
      <c r="E69" s="25">
        <v>5000</v>
      </c>
      <c r="F69" s="28">
        <v>0.3582</v>
      </c>
      <c r="G69" s="25">
        <f t="shared" si="31"/>
        <v>1791</v>
      </c>
      <c r="H69" s="29">
        <f>VLOOKUP(B69,[3]Sheet2!$A:$C,3,0)</f>
        <v>3</v>
      </c>
      <c r="I69" s="25">
        <f>VLOOKUP(B69,[3]实习生!$A:$C,3,0)</f>
        <v>1</v>
      </c>
      <c r="J69" s="30">
        <f>VLOOKUP(B69,[1]查询时间段分门店销售汇总!$D:$L,9,0)</f>
        <v>22757.8</v>
      </c>
      <c r="K69" s="30">
        <f>VLOOKUP(B69,[1]查询时间段分门店销售汇总!$D:$M,10,0)</f>
        <v>8230.08</v>
      </c>
      <c r="L69" s="31">
        <f>E69*1.5</f>
        <v>7500</v>
      </c>
      <c r="M69" s="32">
        <v>0.334917</v>
      </c>
      <c r="N69" s="37">
        <f t="shared" si="32"/>
        <v>2511.8775</v>
      </c>
      <c r="O69" s="37">
        <f t="shared" si="33"/>
        <v>30000</v>
      </c>
      <c r="P69" s="37">
        <f t="shared" si="34"/>
        <v>10047.51</v>
      </c>
      <c r="Q69" s="81">
        <f t="shared" si="35"/>
        <v>0.758593333333333</v>
      </c>
      <c r="R69" s="81">
        <f t="shared" si="36"/>
        <v>0.819116378087705</v>
      </c>
      <c r="S69" s="82">
        <f t="shared" si="37"/>
        <v>8625</v>
      </c>
      <c r="T69" s="83"/>
      <c r="U69" s="82">
        <f t="shared" si="30"/>
        <v>-72.422</v>
      </c>
      <c r="V69" s="84">
        <f t="shared" ref="V69:V100" si="57">U69/2</f>
        <v>-36.211</v>
      </c>
      <c r="W69" s="32">
        <f t="shared" si="38"/>
        <v>0.31482198</v>
      </c>
      <c r="X69" s="37">
        <f t="shared" si="39"/>
        <v>2715.3395775</v>
      </c>
      <c r="Y69" s="38">
        <f t="shared" si="40"/>
        <v>34500</v>
      </c>
      <c r="Z69" s="38">
        <f t="shared" si="41"/>
        <v>10861.35831</v>
      </c>
      <c r="AA69" s="81">
        <f t="shared" si="42"/>
        <v>0.659646376811594</v>
      </c>
      <c r="AB69" s="81">
        <f t="shared" si="43"/>
        <v>0.757739480192142</v>
      </c>
      <c r="AC69" s="71"/>
      <c r="AD69" s="71"/>
      <c r="AE69" s="98">
        <f>VLOOKUP(B69,[2]查询时间段分门店销售汇总!$D:$L,9,0)</f>
        <v>14372.08</v>
      </c>
      <c r="AF69" s="98">
        <f>VLOOKUP(B69,[2]查询时间段分门店销售汇总!$D:$M,10,0)</f>
        <v>4917.47</v>
      </c>
      <c r="AG69" s="41">
        <f t="shared" si="44"/>
        <v>6675</v>
      </c>
      <c r="AH69" s="28">
        <v>0.339940755</v>
      </c>
      <c r="AI69" s="43">
        <f t="shared" si="45"/>
        <v>2269.104539625</v>
      </c>
      <c r="AJ69" s="43">
        <f t="shared" si="46"/>
        <v>20025</v>
      </c>
      <c r="AK69" s="43">
        <f t="shared" si="47"/>
        <v>6807.313618875</v>
      </c>
      <c r="AL69" s="28">
        <f t="shared" si="48"/>
        <v>0.717706866416979</v>
      </c>
      <c r="AM69" s="28">
        <f t="shared" si="49"/>
        <v>0.722380409559076</v>
      </c>
      <c r="AN69" s="43">
        <f t="shared" si="50"/>
        <v>7743</v>
      </c>
      <c r="AP69" s="28">
        <f t="shared" si="51"/>
        <v>0.3263431248</v>
      </c>
      <c r="AQ69" s="43">
        <f t="shared" si="52"/>
        <v>2526.8748153264</v>
      </c>
      <c r="AR69" s="43">
        <f t="shared" si="53"/>
        <v>23229</v>
      </c>
      <c r="AS69" s="43">
        <f t="shared" si="54"/>
        <v>7580.6244459792</v>
      </c>
      <c r="AT69" s="107">
        <f t="shared" si="55"/>
        <v>0.618712815876706</v>
      </c>
      <c r="AU69" s="107">
        <f t="shared" si="56"/>
        <v>0.648689304560952</v>
      </c>
    </row>
    <row r="70" spans="1:47">
      <c r="A70" s="25">
        <v>124</v>
      </c>
      <c r="B70" s="26">
        <v>122906</v>
      </c>
      <c r="C70" s="27" t="s">
        <v>110</v>
      </c>
      <c r="D70" s="26" t="s">
        <v>65</v>
      </c>
      <c r="E70" s="25">
        <v>3000</v>
      </c>
      <c r="F70" s="28">
        <v>0.3</v>
      </c>
      <c r="G70" s="25">
        <f t="shared" si="31"/>
        <v>900</v>
      </c>
      <c r="H70" s="29">
        <f>VLOOKUP(B70,[3]Sheet2!$A:$C,3,0)</f>
        <v>2</v>
      </c>
      <c r="J70" s="30">
        <f>VLOOKUP(B70,[1]查询时间段分门店销售汇总!$D:$L,9,0)</f>
        <v>14542.63</v>
      </c>
      <c r="K70" s="30">
        <f>VLOOKUP(B70,[1]查询时间段分门店销售汇总!$D:$M,10,0)</f>
        <v>4591.08</v>
      </c>
      <c r="L70" s="31">
        <f>E70*1.6</f>
        <v>4800</v>
      </c>
      <c r="M70" s="32">
        <v>0.2805</v>
      </c>
      <c r="N70" s="37">
        <f t="shared" si="32"/>
        <v>1346.4</v>
      </c>
      <c r="O70" s="37">
        <f t="shared" si="33"/>
        <v>19200</v>
      </c>
      <c r="P70" s="37">
        <f t="shared" si="34"/>
        <v>5385.6</v>
      </c>
      <c r="Q70" s="81">
        <f t="shared" si="35"/>
        <v>0.757428645833333</v>
      </c>
      <c r="R70" s="81">
        <f t="shared" si="36"/>
        <v>0.852473262032086</v>
      </c>
      <c r="S70" s="82">
        <f t="shared" si="37"/>
        <v>5520</v>
      </c>
      <c r="T70" s="83"/>
      <c r="U70" s="82">
        <f t="shared" si="30"/>
        <v>-46.5737</v>
      </c>
      <c r="V70" s="84">
        <f t="shared" si="57"/>
        <v>-23.28685</v>
      </c>
      <c r="W70" s="32">
        <f t="shared" si="38"/>
        <v>0.26367</v>
      </c>
      <c r="X70" s="37">
        <f t="shared" si="39"/>
        <v>1455.4584</v>
      </c>
      <c r="Y70" s="38">
        <f t="shared" si="40"/>
        <v>22080</v>
      </c>
      <c r="Z70" s="38">
        <f t="shared" si="41"/>
        <v>5821.8336</v>
      </c>
      <c r="AA70" s="81">
        <f t="shared" si="42"/>
        <v>0.658633605072464</v>
      </c>
      <c r="AB70" s="81">
        <f t="shared" si="43"/>
        <v>0.78859691214809</v>
      </c>
      <c r="AC70" s="71"/>
      <c r="AD70" s="71"/>
      <c r="AE70" s="98">
        <f>VLOOKUP(B70,[2]查询时间段分门店销售汇总!$D:$L,9,0)</f>
        <v>10291.03</v>
      </c>
      <c r="AF70" s="98">
        <f>VLOOKUP(B70,[2]查询时间段分门店销售汇总!$D:$M,10,0)</f>
        <v>3233</v>
      </c>
      <c r="AG70" s="41">
        <f t="shared" si="44"/>
        <v>4272</v>
      </c>
      <c r="AH70" s="28">
        <v>0.2847075</v>
      </c>
      <c r="AI70" s="43">
        <f t="shared" si="45"/>
        <v>1216.27044</v>
      </c>
      <c r="AJ70" s="43">
        <f t="shared" si="46"/>
        <v>12816</v>
      </c>
      <c r="AK70" s="43">
        <f t="shared" si="47"/>
        <v>3648.81132</v>
      </c>
      <c r="AL70" s="28">
        <f t="shared" si="48"/>
        <v>0.802982990012484</v>
      </c>
      <c r="AM70" s="28">
        <f t="shared" si="49"/>
        <v>0.886041978185926</v>
      </c>
      <c r="AN70" s="43">
        <f t="shared" si="50"/>
        <v>4955.52</v>
      </c>
      <c r="AP70" s="28">
        <f t="shared" si="51"/>
        <v>0.2733192</v>
      </c>
      <c r="AQ70" s="43">
        <f t="shared" si="52"/>
        <v>1354.438761984</v>
      </c>
      <c r="AR70" s="43">
        <f t="shared" si="53"/>
        <v>14866.56</v>
      </c>
      <c r="AS70" s="43">
        <f t="shared" si="54"/>
        <v>4063.316285952</v>
      </c>
      <c r="AT70" s="107">
        <f t="shared" si="55"/>
        <v>0.692226715528004</v>
      </c>
      <c r="AU70" s="107">
        <f t="shared" si="56"/>
        <v>0.795655512020408</v>
      </c>
    </row>
    <row r="71" spans="1:47">
      <c r="A71" s="25">
        <v>6</v>
      </c>
      <c r="B71" s="26">
        <v>337</v>
      </c>
      <c r="C71" s="27" t="s">
        <v>111</v>
      </c>
      <c r="D71" s="26" t="s">
        <v>42</v>
      </c>
      <c r="E71" s="25">
        <v>23000</v>
      </c>
      <c r="F71" s="28">
        <v>0.2536</v>
      </c>
      <c r="G71" s="25">
        <f t="shared" si="31"/>
        <v>5832.8</v>
      </c>
      <c r="H71" s="29">
        <f>VLOOKUP(B71,[3]Sheet2!$A:$C,3,0)</f>
        <v>5</v>
      </c>
      <c r="I71" s="25">
        <f>VLOOKUP(B71,[3]实习生!$A:$C,3,0)</f>
        <v>1</v>
      </c>
      <c r="J71" s="30">
        <f>VLOOKUP(B71,[1]查询时间段分门店销售汇总!$D:$L,9,0)</f>
        <v>90328.54</v>
      </c>
      <c r="K71" s="30">
        <f>VLOOKUP(B71,[1]查询时间段分门店销售汇总!$D:$M,10,0)</f>
        <v>20412.95</v>
      </c>
      <c r="L71" s="31">
        <f>E71*1.3</f>
        <v>29900</v>
      </c>
      <c r="M71" s="32">
        <v>0.237116</v>
      </c>
      <c r="N71" s="37">
        <f t="shared" si="32"/>
        <v>7089.7684</v>
      </c>
      <c r="O71" s="37">
        <f t="shared" si="33"/>
        <v>119600</v>
      </c>
      <c r="P71" s="37">
        <f t="shared" si="34"/>
        <v>28359.0736</v>
      </c>
      <c r="Q71" s="81">
        <f t="shared" si="35"/>
        <v>0.755255351170569</v>
      </c>
      <c r="R71" s="81">
        <f t="shared" si="36"/>
        <v>0.719803132074103</v>
      </c>
      <c r="S71" s="82">
        <f t="shared" si="37"/>
        <v>34385</v>
      </c>
      <c r="T71" s="83"/>
      <c r="U71" s="84">
        <f t="shared" si="30"/>
        <v>-292.7146</v>
      </c>
      <c r="V71" s="84">
        <f t="shared" si="57"/>
        <v>-146.3573</v>
      </c>
      <c r="W71" s="32">
        <f t="shared" si="38"/>
        <v>0.22288904</v>
      </c>
      <c r="X71" s="37">
        <f t="shared" si="39"/>
        <v>7664.0396404</v>
      </c>
      <c r="Y71" s="38">
        <f t="shared" si="40"/>
        <v>137540</v>
      </c>
      <c r="Z71" s="38">
        <f t="shared" si="41"/>
        <v>30656.1585616</v>
      </c>
      <c r="AA71" s="81">
        <f t="shared" si="42"/>
        <v>0.656743783626581</v>
      </c>
      <c r="AB71" s="81">
        <f t="shared" si="43"/>
        <v>0.665867837256339</v>
      </c>
      <c r="AC71" s="71"/>
      <c r="AD71" s="71"/>
      <c r="AE71" s="98">
        <f>VLOOKUP(B71,[2]查询时间段分门店销售汇总!$D:$L,9,0)</f>
        <v>60396.19</v>
      </c>
      <c r="AF71" s="98">
        <f>VLOOKUP(B71,[2]查询时间段分门店销售汇总!$D:$M,10,0)</f>
        <v>8805.48</v>
      </c>
      <c r="AG71" s="41">
        <f t="shared" si="44"/>
        <v>26611</v>
      </c>
      <c r="AH71" s="28">
        <v>0.24067274</v>
      </c>
      <c r="AI71" s="43">
        <f t="shared" si="45"/>
        <v>6404.54228414</v>
      </c>
      <c r="AJ71" s="43">
        <f t="shared" si="46"/>
        <v>79833</v>
      </c>
      <c r="AK71" s="43">
        <f t="shared" si="47"/>
        <v>19213.62685242</v>
      </c>
      <c r="AL71" s="28">
        <f t="shared" si="48"/>
        <v>0.756531634787619</v>
      </c>
      <c r="AM71" s="28">
        <f t="shared" si="49"/>
        <v>0.458293484495923</v>
      </c>
      <c r="AN71" s="43">
        <f t="shared" si="50"/>
        <v>30868.76</v>
      </c>
      <c r="AP71" s="28">
        <f t="shared" si="51"/>
        <v>0.2310458304</v>
      </c>
      <c r="AQ71" s="43">
        <f t="shared" si="52"/>
        <v>7132.0982876183</v>
      </c>
      <c r="AR71" s="43">
        <f t="shared" si="53"/>
        <v>92606.28</v>
      </c>
      <c r="AS71" s="43">
        <f t="shared" si="54"/>
        <v>21396.2948628549</v>
      </c>
      <c r="AT71" s="107">
        <f t="shared" si="55"/>
        <v>0.65218244378243</v>
      </c>
      <c r="AU71" s="107">
        <f t="shared" si="56"/>
        <v>0.411542281336138</v>
      </c>
    </row>
    <row r="72" spans="1:47">
      <c r="A72" s="25">
        <v>19</v>
      </c>
      <c r="B72" s="26">
        <v>546</v>
      </c>
      <c r="C72" s="27" t="s">
        <v>112</v>
      </c>
      <c r="D72" s="26" t="s">
        <v>42</v>
      </c>
      <c r="E72" s="25">
        <v>8400</v>
      </c>
      <c r="F72" s="28">
        <v>0.339</v>
      </c>
      <c r="G72" s="25">
        <f t="shared" si="31"/>
        <v>2847.6</v>
      </c>
      <c r="H72" s="29">
        <f>VLOOKUP(B72,[3]Sheet2!$A:$C,3,0)</f>
        <v>4</v>
      </c>
      <c r="J72" s="30">
        <f>VLOOKUP(B72,[1]查询时间段分门店销售汇总!$D:$L,9,0)</f>
        <v>35304.93</v>
      </c>
      <c r="K72" s="30">
        <f>VLOOKUP(B72,[1]查询时间段分门店销售汇总!$D:$M,10,0)</f>
        <v>11274.18</v>
      </c>
      <c r="L72" s="31">
        <f>E72*1.4</f>
        <v>11760</v>
      </c>
      <c r="M72" s="32">
        <v>0.316965</v>
      </c>
      <c r="N72" s="37">
        <f t="shared" si="32"/>
        <v>3727.5084</v>
      </c>
      <c r="O72" s="37">
        <f t="shared" si="33"/>
        <v>47040</v>
      </c>
      <c r="P72" s="37">
        <f t="shared" si="34"/>
        <v>14910.0336</v>
      </c>
      <c r="Q72" s="81">
        <f t="shared" si="35"/>
        <v>0.750529974489796</v>
      </c>
      <c r="R72" s="81">
        <f t="shared" si="36"/>
        <v>0.756147189366495</v>
      </c>
      <c r="S72" s="82">
        <f t="shared" si="37"/>
        <v>13524</v>
      </c>
      <c r="T72" s="83"/>
      <c r="U72" s="82">
        <f t="shared" si="30"/>
        <v>-117.3507</v>
      </c>
      <c r="V72" s="84">
        <f t="shared" si="57"/>
        <v>-58.67535</v>
      </c>
      <c r="W72" s="32">
        <f t="shared" si="38"/>
        <v>0.2979471</v>
      </c>
      <c r="X72" s="37">
        <f t="shared" si="39"/>
        <v>4029.4365804</v>
      </c>
      <c r="Y72" s="38">
        <f t="shared" si="40"/>
        <v>54096</v>
      </c>
      <c r="Z72" s="38">
        <f t="shared" si="41"/>
        <v>16117.7463216</v>
      </c>
      <c r="AA72" s="81">
        <f t="shared" si="42"/>
        <v>0.65263476042591</v>
      </c>
      <c r="AB72" s="81">
        <f t="shared" si="43"/>
        <v>0.699488611809894</v>
      </c>
      <c r="AC72" s="71"/>
      <c r="AD72" s="71"/>
      <c r="AE72" s="98">
        <f>VLOOKUP(B72,[2]查询时间段分门店销售汇总!$D:$L,9,0)</f>
        <v>30934.97</v>
      </c>
      <c r="AF72" s="98">
        <f>VLOOKUP(B72,[2]查询时间段分门店销售汇总!$D:$M,10,0)</f>
        <v>8442.07</v>
      </c>
      <c r="AG72" s="41">
        <f t="shared" si="44"/>
        <v>10466.4</v>
      </c>
      <c r="AH72" s="28">
        <v>0.321719475</v>
      </c>
      <c r="AI72" s="43">
        <f t="shared" si="45"/>
        <v>3367.24471314</v>
      </c>
      <c r="AJ72" s="43">
        <f t="shared" si="46"/>
        <v>31399.2</v>
      </c>
      <c r="AK72" s="43">
        <f t="shared" si="47"/>
        <v>10101.73413942</v>
      </c>
      <c r="AL72" s="28">
        <f t="shared" si="48"/>
        <v>0.985215228413463</v>
      </c>
      <c r="AM72" s="28">
        <f t="shared" si="49"/>
        <v>0.835705026828662</v>
      </c>
      <c r="AN72" s="43">
        <f t="shared" si="50"/>
        <v>12141.024</v>
      </c>
      <c r="AP72" s="28">
        <f t="shared" si="51"/>
        <v>0.308850696</v>
      </c>
      <c r="AQ72" s="43">
        <f t="shared" si="52"/>
        <v>3749.7637125527</v>
      </c>
      <c r="AR72" s="43">
        <f t="shared" si="53"/>
        <v>36423.072</v>
      </c>
      <c r="AS72" s="43">
        <f t="shared" si="54"/>
        <v>11249.2911376581</v>
      </c>
      <c r="AT72" s="107">
        <f t="shared" si="55"/>
        <v>0.849323472770227</v>
      </c>
      <c r="AU72" s="107">
        <f t="shared" si="56"/>
        <v>0.750453508287232</v>
      </c>
    </row>
    <row r="73" spans="1:48">
      <c r="A73" s="25">
        <v>43</v>
      </c>
      <c r="B73" s="26">
        <v>103198</v>
      </c>
      <c r="C73" s="27" t="s">
        <v>113</v>
      </c>
      <c r="D73" s="26" t="s">
        <v>37</v>
      </c>
      <c r="E73" s="25">
        <v>6600</v>
      </c>
      <c r="F73" s="28">
        <v>0.2931</v>
      </c>
      <c r="G73" s="25">
        <f t="shared" si="31"/>
        <v>1934.46</v>
      </c>
      <c r="H73" s="29">
        <f>VLOOKUP(B73,[3]Sheet2!$A:$C,3,0)</f>
        <v>3</v>
      </c>
      <c r="I73" s="25">
        <f>VLOOKUP(B73,[3]实习生!$A:$C,3,0)</f>
        <v>1</v>
      </c>
      <c r="J73" s="30">
        <f>VLOOKUP(B73,[1]查询时间段分门店销售汇总!$D:$L,9,0)</f>
        <v>28352.24</v>
      </c>
      <c r="K73" s="30">
        <f>VLOOKUP(B73,[1]查询时间段分门店销售汇总!$D:$M,10,0)</f>
        <v>7067.73</v>
      </c>
      <c r="L73" s="31">
        <f>E73*1.45</f>
        <v>9570</v>
      </c>
      <c r="M73" s="32">
        <v>0.2740485</v>
      </c>
      <c r="N73" s="37">
        <f t="shared" si="32"/>
        <v>2622.644145</v>
      </c>
      <c r="O73" s="37">
        <f t="shared" si="33"/>
        <v>38280</v>
      </c>
      <c r="P73" s="37">
        <f t="shared" si="34"/>
        <v>10490.57658</v>
      </c>
      <c r="Q73" s="81">
        <f t="shared" si="35"/>
        <v>0.740654127481714</v>
      </c>
      <c r="R73" s="81">
        <f t="shared" si="36"/>
        <v>0.67372178698685</v>
      </c>
      <c r="S73" s="82">
        <f t="shared" si="37"/>
        <v>11005.5</v>
      </c>
      <c r="T73" s="83"/>
      <c r="U73" s="82">
        <f t="shared" si="30"/>
        <v>-99.2776</v>
      </c>
      <c r="V73" s="84">
        <f t="shared" si="57"/>
        <v>-49.6388</v>
      </c>
      <c r="W73" s="32">
        <f t="shared" si="38"/>
        <v>0.25760559</v>
      </c>
      <c r="X73" s="37">
        <f t="shared" si="39"/>
        <v>2835.078320745</v>
      </c>
      <c r="Y73" s="38">
        <f t="shared" si="40"/>
        <v>44022</v>
      </c>
      <c r="Z73" s="38">
        <f t="shared" si="41"/>
        <v>11340.31328298</v>
      </c>
      <c r="AA73" s="81">
        <f t="shared" si="42"/>
        <v>0.644047067375403</v>
      </c>
      <c r="AB73" s="81">
        <f t="shared" si="43"/>
        <v>0.62323939591753</v>
      </c>
      <c r="AC73" s="71"/>
      <c r="AD73" s="71"/>
      <c r="AE73" s="98">
        <f>VLOOKUP(B73,[2]查询时间段分门店销售汇总!$D:$L,9,0)</f>
        <v>40492.11</v>
      </c>
      <c r="AF73" s="98">
        <f>VLOOKUP(B73,[2]查询时间段分门店销售汇总!$D:$M,10,0)</f>
        <v>9429.28</v>
      </c>
      <c r="AG73" s="41">
        <f t="shared" si="44"/>
        <v>8517.3</v>
      </c>
      <c r="AH73" s="28">
        <v>0.2781592275</v>
      </c>
      <c r="AI73" s="43">
        <f t="shared" si="45"/>
        <v>2369.16558838575</v>
      </c>
      <c r="AJ73" s="43">
        <f t="shared" si="46"/>
        <v>25551.9</v>
      </c>
      <c r="AK73" s="43">
        <f t="shared" si="47"/>
        <v>7107.49676515725</v>
      </c>
      <c r="AL73" s="103">
        <f t="shared" si="48"/>
        <v>1.58470055064398</v>
      </c>
      <c r="AM73" s="103">
        <f t="shared" si="49"/>
        <v>1.32666680148554</v>
      </c>
      <c r="AN73" s="43">
        <f t="shared" si="50"/>
        <v>9880.068</v>
      </c>
      <c r="AP73" s="28">
        <f t="shared" si="51"/>
        <v>0.2670328584</v>
      </c>
      <c r="AQ73" s="43">
        <f t="shared" si="52"/>
        <v>2638.30279922637</v>
      </c>
      <c r="AR73" s="43">
        <f t="shared" si="53"/>
        <v>29640.204</v>
      </c>
      <c r="AS73" s="43">
        <f t="shared" si="54"/>
        <v>7914.90839767911</v>
      </c>
      <c r="AT73" s="109">
        <f t="shared" si="55"/>
        <v>1.36612116434826</v>
      </c>
      <c r="AU73" s="109">
        <f t="shared" si="56"/>
        <v>1.19133153869032</v>
      </c>
      <c r="AV73" s="44">
        <f>(AF73-AK73)*0.1</f>
        <v>232.178323484275</v>
      </c>
    </row>
    <row r="74" spans="1:47">
      <c r="A74" s="25">
        <v>47</v>
      </c>
      <c r="B74" s="26">
        <v>746</v>
      </c>
      <c r="C74" s="27" t="s">
        <v>114</v>
      </c>
      <c r="D74" s="26" t="s">
        <v>61</v>
      </c>
      <c r="E74" s="25">
        <v>6400</v>
      </c>
      <c r="F74" s="28">
        <v>0.3152</v>
      </c>
      <c r="G74" s="25">
        <f t="shared" si="31"/>
        <v>2017.28</v>
      </c>
      <c r="H74" s="29">
        <f>VLOOKUP(B74,[3]Sheet2!$A:$C,3,0)</f>
        <v>2</v>
      </c>
      <c r="J74" s="30">
        <f>VLOOKUP(B74,[1]查询时间段分门店销售汇总!$D:$L,9,0)</f>
        <v>27463.19</v>
      </c>
      <c r="K74" s="30">
        <f>VLOOKUP(B74,[1]查询时间段分门店销售汇总!$D:$M,10,0)</f>
        <v>7559.15</v>
      </c>
      <c r="L74" s="31">
        <f>E74*1.45</f>
        <v>9280</v>
      </c>
      <c r="M74" s="32">
        <v>0.294712</v>
      </c>
      <c r="N74" s="37">
        <f t="shared" si="32"/>
        <v>2734.92736</v>
      </c>
      <c r="O74" s="37">
        <f t="shared" si="33"/>
        <v>37120</v>
      </c>
      <c r="P74" s="37">
        <f t="shared" si="34"/>
        <v>10939.70944</v>
      </c>
      <c r="Q74" s="81">
        <f t="shared" si="35"/>
        <v>0.739848868534483</v>
      </c>
      <c r="R74" s="81">
        <f t="shared" si="36"/>
        <v>0.690982703101848</v>
      </c>
      <c r="S74" s="82">
        <f t="shared" si="37"/>
        <v>10672</v>
      </c>
      <c r="T74" s="83"/>
      <c r="U74" s="82">
        <f t="shared" si="30"/>
        <v>-96.5681</v>
      </c>
      <c r="V74" s="84">
        <f t="shared" si="57"/>
        <v>-48.28405</v>
      </c>
      <c r="W74" s="32">
        <f t="shared" si="38"/>
        <v>0.27702928</v>
      </c>
      <c r="X74" s="37">
        <f t="shared" si="39"/>
        <v>2956.45647616</v>
      </c>
      <c r="Y74" s="38">
        <f t="shared" si="40"/>
        <v>42688</v>
      </c>
      <c r="Z74" s="38">
        <f t="shared" si="41"/>
        <v>11825.82590464</v>
      </c>
      <c r="AA74" s="81">
        <f t="shared" si="42"/>
        <v>0.643346842203898</v>
      </c>
      <c r="AB74" s="81">
        <f t="shared" si="43"/>
        <v>0.639206940889776</v>
      </c>
      <c r="AC74" s="71"/>
      <c r="AD74" s="71"/>
      <c r="AE74" s="98">
        <f>VLOOKUP(B74,[2]查询时间段分门店销售汇总!$D:$L,9,0)</f>
        <v>21537.92</v>
      </c>
      <c r="AF74" s="98">
        <f>VLOOKUP(B74,[2]查询时间段分门店销售汇总!$D:$M,10,0)</f>
        <v>6021.15</v>
      </c>
      <c r="AG74" s="41">
        <f t="shared" si="44"/>
        <v>8259.2</v>
      </c>
      <c r="AH74" s="28">
        <v>0.29913268</v>
      </c>
      <c r="AI74" s="43">
        <f t="shared" si="45"/>
        <v>2470.596630656</v>
      </c>
      <c r="AJ74" s="43">
        <f t="shared" si="46"/>
        <v>24777.6</v>
      </c>
      <c r="AK74" s="43">
        <f t="shared" si="47"/>
        <v>7411.789891968</v>
      </c>
      <c r="AL74" s="28">
        <f t="shared" si="48"/>
        <v>0.869249644840501</v>
      </c>
      <c r="AM74" s="28">
        <f t="shared" si="49"/>
        <v>0.81237462040377</v>
      </c>
      <c r="AN74" s="43">
        <f t="shared" si="50"/>
        <v>9580.672</v>
      </c>
      <c r="AP74" s="28">
        <f t="shared" si="51"/>
        <v>0.2871673728</v>
      </c>
      <c r="AQ74" s="43">
        <f t="shared" si="52"/>
        <v>2751.25640789852</v>
      </c>
      <c r="AR74" s="43">
        <f t="shared" si="53"/>
        <v>28742.016</v>
      </c>
      <c r="AS74" s="43">
        <f t="shared" si="54"/>
        <v>8253.76922369556</v>
      </c>
      <c r="AT74" s="107">
        <f t="shared" si="55"/>
        <v>0.74935314210388</v>
      </c>
      <c r="AU74" s="107">
        <f t="shared" si="56"/>
        <v>0.72950307148327</v>
      </c>
    </row>
    <row r="75" spans="1:47">
      <c r="A75" s="25">
        <v>65</v>
      </c>
      <c r="B75" s="26">
        <v>572</v>
      </c>
      <c r="C75" s="27" t="s">
        <v>115</v>
      </c>
      <c r="D75" s="26" t="s">
        <v>42</v>
      </c>
      <c r="E75" s="25">
        <v>5200</v>
      </c>
      <c r="F75" s="28">
        <v>0.2767</v>
      </c>
      <c r="G75" s="25">
        <f t="shared" si="31"/>
        <v>1438.84</v>
      </c>
      <c r="H75" s="29">
        <f>VLOOKUP(B75,[3]Sheet2!$A:$C,3,0)</f>
        <v>2</v>
      </c>
      <c r="J75" s="30">
        <f>VLOOKUP(B75,[1]查询时间段分门店销售汇总!$D:$L,9,0)</f>
        <v>22965.83</v>
      </c>
      <c r="K75" s="30">
        <f>VLOOKUP(B75,[1]查询时间段分门店销售汇总!$D:$M,10,0)</f>
        <v>3496.48</v>
      </c>
      <c r="L75" s="31">
        <f>E75*1.5</f>
        <v>7800</v>
      </c>
      <c r="M75" s="32">
        <v>0.2587145</v>
      </c>
      <c r="N75" s="37">
        <f t="shared" si="32"/>
        <v>2017.9731</v>
      </c>
      <c r="O75" s="37">
        <f t="shared" si="33"/>
        <v>31200</v>
      </c>
      <c r="P75" s="37">
        <f t="shared" si="34"/>
        <v>8071.8924</v>
      </c>
      <c r="Q75" s="81">
        <f t="shared" si="35"/>
        <v>0.736084294871795</v>
      </c>
      <c r="R75" s="81">
        <f t="shared" si="36"/>
        <v>0.43316732021849</v>
      </c>
      <c r="S75" s="82">
        <f t="shared" si="37"/>
        <v>8970</v>
      </c>
      <c r="T75" s="83"/>
      <c r="U75" s="82">
        <f t="shared" si="30"/>
        <v>-82.3417</v>
      </c>
      <c r="V75" s="84">
        <f t="shared" si="57"/>
        <v>-41.17085</v>
      </c>
      <c r="W75" s="32">
        <f t="shared" si="38"/>
        <v>0.24319163</v>
      </c>
      <c r="X75" s="37">
        <f t="shared" si="39"/>
        <v>2181.4289211</v>
      </c>
      <c r="Y75" s="38">
        <f t="shared" si="40"/>
        <v>35880</v>
      </c>
      <c r="Z75" s="38">
        <f t="shared" si="41"/>
        <v>8725.7156844</v>
      </c>
      <c r="AA75" s="81">
        <f t="shared" si="42"/>
        <v>0.640073299888517</v>
      </c>
      <c r="AB75" s="81">
        <f t="shared" si="43"/>
        <v>0.400709824438937</v>
      </c>
      <c r="AC75" s="71"/>
      <c r="AD75" s="71"/>
      <c r="AE75" s="98">
        <f>VLOOKUP(B75,[2]查询时间段分门店销售汇总!$D:$L,9,0)</f>
        <v>16620.96</v>
      </c>
      <c r="AF75" s="98">
        <f>VLOOKUP(B75,[2]查询时间段分门店销售汇总!$D:$M,10,0)</f>
        <v>4810.27</v>
      </c>
      <c r="AG75" s="41">
        <f t="shared" si="44"/>
        <v>6942</v>
      </c>
      <c r="AH75" s="28">
        <v>0.2625952175</v>
      </c>
      <c r="AI75" s="43">
        <f t="shared" si="45"/>
        <v>1822.935999885</v>
      </c>
      <c r="AJ75" s="43">
        <f t="shared" si="46"/>
        <v>20826</v>
      </c>
      <c r="AK75" s="43">
        <f t="shared" si="47"/>
        <v>5468.807999655</v>
      </c>
      <c r="AL75" s="28">
        <f t="shared" si="48"/>
        <v>0.798087006626332</v>
      </c>
      <c r="AM75" s="28">
        <f t="shared" si="49"/>
        <v>0.87958290002199</v>
      </c>
      <c r="AN75" s="43">
        <f t="shared" si="50"/>
        <v>8052.72</v>
      </c>
      <c r="AP75" s="28">
        <f t="shared" si="51"/>
        <v>0.2520914088</v>
      </c>
      <c r="AQ75" s="43">
        <f t="shared" si="52"/>
        <v>2030.02152947194</v>
      </c>
      <c r="AR75" s="43">
        <f t="shared" si="53"/>
        <v>24158.16</v>
      </c>
      <c r="AS75" s="43">
        <f t="shared" si="54"/>
        <v>6090.06458841581</v>
      </c>
      <c r="AT75" s="107">
        <f t="shared" si="55"/>
        <v>0.688006040195114</v>
      </c>
      <c r="AU75" s="107">
        <f t="shared" si="56"/>
        <v>0.789855334071471</v>
      </c>
    </row>
    <row r="76" spans="1:48">
      <c r="A76" s="25">
        <v>12</v>
      </c>
      <c r="B76" s="26">
        <v>365</v>
      </c>
      <c r="C76" s="27" t="s">
        <v>116</v>
      </c>
      <c r="D76" s="26" t="s">
        <v>37</v>
      </c>
      <c r="E76" s="25">
        <v>10000</v>
      </c>
      <c r="F76" s="28">
        <v>0.2879</v>
      </c>
      <c r="G76" s="25">
        <f t="shared" si="31"/>
        <v>2879</v>
      </c>
      <c r="H76" s="29">
        <f>VLOOKUP(B76,[3]Sheet2!$A:$C,3,0)</f>
        <v>2</v>
      </c>
      <c r="I76" s="25">
        <f>VLOOKUP(B76,[3]实习生!$A:$C,3,0)</f>
        <v>2</v>
      </c>
      <c r="J76" s="30">
        <f>VLOOKUP(B76,[1]查询时间段分门店销售汇总!$D:$L,9,0)</f>
        <v>39693.68</v>
      </c>
      <c r="K76" s="30">
        <f>VLOOKUP(B76,[1]查询时间段分门店销售汇总!$D:$M,10,0)</f>
        <v>11767.53</v>
      </c>
      <c r="L76" s="31">
        <f>E76*1.35</f>
        <v>13500</v>
      </c>
      <c r="M76" s="32">
        <v>0.2691865</v>
      </c>
      <c r="N76" s="37">
        <f t="shared" si="32"/>
        <v>3634.01775</v>
      </c>
      <c r="O76" s="37">
        <f t="shared" si="33"/>
        <v>54000</v>
      </c>
      <c r="P76" s="37">
        <f t="shared" si="34"/>
        <v>14536.071</v>
      </c>
      <c r="Q76" s="81">
        <f t="shared" si="35"/>
        <v>0.735068148148148</v>
      </c>
      <c r="R76" s="81">
        <f t="shared" si="36"/>
        <v>0.809539936892163</v>
      </c>
      <c r="S76" s="82">
        <f t="shared" si="37"/>
        <v>15525</v>
      </c>
      <c r="T76" s="83"/>
      <c r="U76" s="82">
        <f t="shared" si="30"/>
        <v>-143.0632</v>
      </c>
      <c r="V76" s="84">
        <f t="shared" si="57"/>
        <v>-71.5316</v>
      </c>
      <c r="W76" s="32">
        <f t="shared" si="38"/>
        <v>0.25303531</v>
      </c>
      <c r="X76" s="37">
        <f t="shared" si="39"/>
        <v>3928.37318775</v>
      </c>
      <c r="Y76" s="38">
        <f t="shared" si="40"/>
        <v>62100</v>
      </c>
      <c r="Z76" s="38">
        <f t="shared" si="41"/>
        <v>15713.492751</v>
      </c>
      <c r="AA76" s="81">
        <f t="shared" si="42"/>
        <v>0.639189694041868</v>
      </c>
      <c r="AB76" s="81">
        <f t="shared" si="43"/>
        <v>0.748880607670826</v>
      </c>
      <c r="AC76" s="71"/>
      <c r="AD76" s="71"/>
      <c r="AE76" s="98">
        <f>VLOOKUP(B76,[2]查询时间段分门店销售汇总!$D:$L,9,0)</f>
        <v>77902.52</v>
      </c>
      <c r="AF76" s="98">
        <f>VLOOKUP(B76,[2]查询时间段分门店销售汇总!$D:$M,10,0)</f>
        <v>15637.86</v>
      </c>
      <c r="AG76" s="41">
        <f t="shared" si="44"/>
        <v>12015</v>
      </c>
      <c r="AH76" s="28">
        <v>0.2732242975</v>
      </c>
      <c r="AI76" s="43">
        <f t="shared" si="45"/>
        <v>3282.7899344625</v>
      </c>
      <c r="AJ76" s="43">
        <f t="shared" si="46"/>
        <v>36045</v>
      </c>
      <c r="AK76" s="43">
        <f t="shared" si="47"/>
        <v>9848.3698033875</v>
      </c>
      <c r="AL76" s="103">
        <f t="shared" si="48"/>
        <v>2.16125731724234</v>
      </c>
      <c r="AM76" s="103">
        <f t="shared" si="49"/>
        <v>1.58786279477656</v>
      </c>
      <c r="AN76" s="43">
        <f t="shared" si="50"/>
        <v>13937.4</v>
      </c>
      <c r="AP76" s="28">
        <f t="shared" si="51"/>
        <v>0.2622953256</v>
      </c>
      <c r="AQ76" s="43">
        <f t="shared" si="52"/>
        <v>3655.71487101744</v>
      </c>
      <c r="AR76" s="43">
        <f t="shared" si="53"/>
        <v>41812.2</v>
      </c>
      <c r="AS76" s="43">
        <f t="shared" si="54"/>
        <v>10967.1446130523</v>
      </c>
      <c r="AT76" s="109">
        <f t="shared" si="55"/>
        <v>1.86315285969167</v>
      </c>
      <c r="AU76" s="109">
        <f t="shared" si="56"/>
        <v>1.42588253841286</v>
      </c>
      <c r="AV76" s="44">
        <f>(AF76-AK76)*0.1</f>
        <v>578.94901966125</v>
      </c>
    </row>
    <row r="77" spans="1:47">
      <c r="A77" s="25">
        <v>40</v>
      </c>
      <c r="B77" s="26">
        <v>54</v>
      </c>
      <c r="C77" s="27" t="s">
        <v>117</v>
      </c>
      <c r="D77" s="26" t="s">
        <v>53</v>
      </c>
      <c r="E77" s="25">
        <v>6800</v>
      </c>
      <c r="F77" s="28">
        <v>0.3126</v>
      </c>
      <c r="G77" s="25">
        <f t="shared" si="31"/>
        <v>2125.68</v>
      </c>
      <c r="H77" s="29">
        <f>VLOOKUP(B77,[3]Sheet2!$A:$C,3,0)</f>
        <v>3</v>
      </c>
      <c r="J77" s="30">
        <f>VLOOKUP(B77,[1]查询时间段分门店销售汇总!$D:$L,9,0)</f>
        <v>28974.87</v>
      </c>
      <c r="K77" s="30">
        <f>VLOOKUP(B77,[1]查询时间段分门店销售汇总!$D:$M,10,0)</f>
        <v>8362.96</v>
      </c>
      <c r="L77" s="31">
        <f>E77*1.45</f>
        <v>9860</v>
      </c>
      <c r="M77" s="32">
        <v>0.292281</v>
      </c>
      <c r="N77" s="37">
        <f t="shared" si="32"/>
        <v>2881.89066</v>
      </c>
      <c r="O77" s="37">
        <f t="shared" si="33"/>
        <v>39440</v>
      </c>
      <c r="P77" s="37">
        <f t="shared" si="34"/>
        <v>11527.56264</v>
      </c>
      <c r="Q77" s="81">
        <f t="shared" si="35"/>
        <v>0.734656947261663</v>
      </c>
      <c r="R77" s="81">
        <f t="shared" si="36"/>
        <v>0.725475129580385</v>
      </c>
      <c r="S77" s="82">
        <f t="shared" si="37"/>
        <v>11339</v>
      </c>
      <c r="T77" s="83"/>
      <c r="U77" s="82">
        <f t="shared" si="30"/>
        <v>-104.6513</v>
      </c>
      <c r="V77" s="84">
        <f t="shared" si="57"/>
        <v>-52.32565</v>
      </c>
      <c r="W77" s="32">
        <f t="shared" si="38"/>
        <v>0.27474414</v>
      </c>
      <c r="X77" s="37">
        <f t="shared" si="39"/>
        <v>3115.32380346</v>
      </c>
      <c r="Y77" s="38">
        <f t="shared" si="40"/>
        <v>45356</v>
      </c>
      <c r="Z77" s="38">
        <f t="shared" si="41"/>
        <v>12461.29521384</v>
      </c>
      <c r="AA77" s="81">
        <f t="shared" si="42"/>
        <v>0.63883212805362</v>
      </c>
      <c r="AB77" s="81">
        <f t="shared" si="43"/>
        <v>0.671114828473991</v>
      </c>
      <c r="AC77" s="71"/>
      <c r="AD77" s="71"/>
      <c r="AE77" s="98">
        <f>VLOOKUP(B77,[2]查询时间段分门店销售汇总!$D:$L,9,0)</f>
        <v>26486.22</v>
      </c>
      <c r="AF77" s="98">
        <f>VLOOKUP(B77,[2]查询时间段分门店销售汇总!$D:$M,10,0)</f>
        <v>7957.47</v>
      </c>
      <c r="AG77" s="41">
        <f t="shared" si="44"/>
        <v>8775.4</v>
      </c>
      <c r="AH77" s="28">
        <v>0.296665215</v>
      </c>
      <c r="AI77" s="43">
        <f t="shared" si="45"/>
        <v>2603.355927711</v>
      </c>
      <c r="AJ77" s="43">
        <f t="shared" si="46"/>
        <v>26326.2</v>
      </c>
      <c r="AK77" s="43">
        <f t="shared" si="47"/>
        <v>7810.067783133</v>
      </c>
      <c r="AL77" s="103">
        <f t="shared" si="48"/>
        <v>1.0060783554026</v>
      </c>
      <c r="AM77" s="103">
        <f t="shared" si="49"/>
        <v>1.0188733594842</v>
      </c>
      <c r="AN77" s="43">
        <f t="shared" si="50"/>
        <v>10179.464</v>
      </c>
      <c r="AO77" s="44" t="s">
        <v>40</v>
      </c>
      <c r="AP77" s="28">
        <f t="shared" si="51"/>
        <v>0.2847986064</v>
      </c>
      <c r="AQ77" s="43">
        <f t="shared" si="52"/>
        <v>2899.09716109897</v>
      </c>
      <c r="AR77" s="43">
        <f t="shared" si="53"/>
        <v>30538.392</v>
      </c>
      <c r="AS77" s="43">
        <f t="shared" si="54"/>
        <v>8697.29148329691</v>
      </c>
      <c r="AT77" s="107">
        <f t="shared" si="55"/>
        <v>0.86730892707121</v>
      </c>
      <c r="AU77" s="107">
        <f t="shared" si="56"/>
        <v>0.914936565628767</v>
      </c>
    </row>
    <row r="78" spans="1:47">
      <c r="A78" s="25">
        <v>22</v>
      </c>
      <c r="B78" s="26">
        <v>359</v>
      </c>
      <c r="C78" s="27" t="s">
        <v>118</v>
      </c>
      <c r="D78" s="26" t="s">
        <v>37</v>
      </c>
      <c r="E78" s="25">
        <v>8000</v>
      </c>
      <c r="F78" s="28">
        <v>0.237</v>
      </c>
      <c r="G78" s="25">
        <f t="shared" si="31"/>
        <v>1896</v>
      </c>
      <c r="H78" s="29">
        <f>VLOOKUP(B78,[3]Sheet2!$A:$C,3,0)</f>
        <v>3</v>
      </c>
      <c r="I78" s="25">
        <f>VLOOKUP(B78,[3]实习生!$A:$C,3,0)</f>
        <v>1</v>
      </c>
      <c r="J78" s="30">
        <f>VLOOKUP(B78,[1]查询时间段分门店销售汇总!$D:$L,9,0)</f>
        <v>32843.92</v>
      </c>
      <c r="K78" s="30">
        <f>VLOOKUP(B78,[1]查询时间段分门店销售汇总!$D:$M,10,0)</f>
        <v>8152.83</v>
      </c>
      <c r="L78" s="31">
        <f>E78*1.4</f>
        <v>11200</v>
      </c>
      <c r="M78" s="32">
        <v>0.221595</v>
      </c>
      <c r="N78" s="37">
        <f t="shared" si="32"/>
        <v>2481.864</v>
      </c>
      <c r="O78" s="37">
        <f t="shared" si="33"/>
        <v>44800</v>
      </c>
      <c r="P78" s="37">
        <f t="shared" si="34"/>
        <v>9927.456</v>
      </c>
      <c r="Q78" s="81">
        <f t="shared" si="35"/>
        <v>0.733123214285714</v>
      </c>
      <c r="R78" s="81">
        <f t="shared" si="36"/>
        <v>0.821240607865701</v>
      </c>
      <c r="S78" s="82">
        <f t="shared" si="37"/>
        <v>12880</v>
      </c>
      <c r="T78" s="83"/>
      <c r="U78" s="82">
        <f t="shared" si="30"/>
        <v>-119.5608</v>
      </c>
      <c r="V78" s="84">
        <f t="shared" si="57"/>
        <v>-59.7804</v>
      </c>
      <c r="W78" s="32">
        <f t="shared" si="38"/>
        <v>0.2082993</v>
      </c>
      <c r="X78" s="37">
        <f t="shared" si="39"/>
        <v>2682.894984</v>
      </c>
      <c r="Y78" s="38">
        <f t="shared" si="40"/>
        <v>51520</v>
      </c>
      <c r="Z78" s="38">
        <f t="shared" si="41"/>
        <v>10731.579936</v>
      </c>
      <c r="AA78" s="81">
        <f t="shared" si="42"/>
        <v>0.637498447204969</v>
      </c>
      <c r="AB78" s="81">
        <f t="shared" si="43"/>
        <v>0.759704540116282</v>
      </c>
      <c r="AC78" s="71"/>
      <c r="AD78" s="71"/>
      <c r="AE78" s="98">
        <f>VLOOKUP(B78,[2]查询时间段分门店销售汇总!$D:$L,9,0)</f>
        <v>26843.65</v>
      </c>
      <c r="AF78" s="98">
        <f>VLOOKUP(B78,[2]查询时间段分门店销售汇总!$D:$M,10,0)</f>
        <v>6340.66</v>
      </c>
      <c r="AG78" s="41">
        <f t="shared" si="44"/>
        <v>9968</v>
      </c>
      <c r="AH78" s="28">
        <v>0.224918925</v>
      </c>
      <c r="AI78" s="43">
        <f t="shared" si="45"/>
        <v>2241.9918444</v>
      </c>
      <c r="AJ78" s="43">
        <f t="shared" si="46"/>
        <v>29904</v>
      </c>
      <c r="AK78" s="43">
        <f t="shared" si="47"/>
        <v>6725.9755332</v>
      </c>
      <c r="AL78" s="28">
        <f t="shared" si="48"/>
        <v>0.897660848047084</v>
      </c>
      <c r="AM78" s="28">
        <f t="shared" si="49"/>
        <v>0.942712320123966</v>
      </c>
      <c r="AN78" s="43">
        <f t="shared" si="50"/>
        <v>11562.88</v>
      </c>
      <c r="AP78" s="28">
        <f t="shared" si="51"/>
        <v>0.215922168</v>
      </c>
      <c r="AQ78" s="43">
        <f t="shared" si="52"/>
        <v>2496.68211792384</v>
      </c>
      <c r="AR78" s="43">
        <f t="shared" si="53"/>
        <v>34688.64</v>
      </c>
      <c r="AS78" s="43">
        <f t="shared" si="54"/>
        <v>7490.04635377152</v>
      </c>
      <c r="AT78" s="107">
        <f t="shared" si="55"/>
        <v>0.773845558661279</v>
      </c>
      <c r="AU78" s="107">
        <f t="shared" si="56"/>
        <v>0.846544827697527</v>
      </c>
    </row>
    <row r="79" spans="1:47">
      <c r="A79" s="25">
        <v>130</v>
      </c>
      <c r="B79" s="26">
        <v>106568</v>
      </c>
      <c r="C79" s="27" t="s">
        <v>119</v>
      </c>
      <c r="D79" s="26" t="s">
        <v>51</v>
      </c>
      <c r="E79" s="25">
        <v>2800</v>
      </c>
      <c r="F79" s="28">
        <v>0.3224</v>
      </c>
      <c r="G79" s="25">
        <f t="shared" si="31"/>
        <v>902.72</v>
      </c>
      <c r="H79" s="29">
        <f>VLOOKUP(B79,[3]Sheet2!$A:$C,3,0)</f>
        <v>1</v>
      </c>
      <c r="I79" s="25">
        <f>VLOOKUP(B79,[3]实习生!$A:$C,3,0)</f>
        <v>1</v>
      </c>
      <c r="J79" s="30">
        <f>VLOOKUP(B79,[1]查询时间段分门店销售汇总!$D:$L,9,0)</f>
        <v>13125.02</v>
      </c>
      <c r="K79" s="30">
        <f>VLOOKUP(B79,[1]查询时间段分门店销售汇总!$D:$M,10,0)</f>
        <v>4613.15</v>
      </c>
      <c r="L79" s="31">
        <f>E79*1.6</f>
        <v>4480</v>
      </c>
      <c r="M79" s="32">
        <v>0.301444</v>
      </c>
      <c r="N79" s="37">
        <f t="shared" si="32"/>
        <v>1350.46912</v>
      </c>
      <c r="O79" s="37">
        <f t="shared" si="33"/>
        <v>17920</v>
      </c>
      <c r="P79" s="37">
        <f t="shared" si="34"/>
        <v>5401.87648</v>
      </c>
      <c r="Q79" s="81">
        <f t="shared" si="35"/>
        <v>0.732422991071429</v>
      </c>
      <c r="R79" s="81">
        <f t="shared" si="36"/>
        <v>0.853990278578158</v>
      </c>
      <c r="S79" s="82">
        <f t="shared" si="37"/>
        <v>5152</v>
      </c>
      <c r="T79" s="83"/>
      <c r="U79" s="82">
        <f t="shared" si="30"/>
        <v>-47.9498</v>
      </c>
      <c r="V79" s="84">
        <f t="shared" si="57"/>
        <v>-23.9749</v>
      </c>
      <c r="W79" s="32">
        <f t="shared" si="38"/>
        <v>0.28335736</v>
      </c>
      <c r="X79" s="37">
        <f t="shared" si="39"/>
        <v>1459.85711872</v>
      </c>
      <c r="Y79" s="38">
        <f t="shared" si="40"/>
        <v>20608</v>
      </c>
      <c r="Z79" s="38">
        <f t="shared" si="41"/>
        <v>5839.42847488</v>
      </c>
      <c r="AA79" s="81">
        <f t="shared" si="42"/>
        <v>0.636889557453416</v>
      </c>
      <c r="AB79" s="81">
        <f t="shared" si="43"/>
        <v>0.790000257704124</v>
      </c>
      <c r="AC79" s="71"/>
      <c r="AD79" s="71"/>
      <c r="AE79" s="98">
        <f>VLOOKUP(B79,[2]查询时间段分门店销售汇总!$D:$L,9,0)</f>
        <v>9084.28</v>
      </c>
      <c r="AF79" s="98">
        <f>VLOOKUP(B79,[2]查询时间段分门店销售汇总!$D:$M,10,0)</f>
        <v>3570.31</v>
      </c>
      <c r="AG79" s="41">
        <f t="shared" si="44"/>
        <v>3987.2</v>
      </c>
      <c r="AH79" s="28">
        <v>0.30596566</v>
      </c>
      <c r="AI79" s="43">
        <f t="shared" si="45"/>
        <v>1219.946279552</v>
      </c>
      <c r="AJ79" s="43">
        <f t="shared" si="46"/>
        <v>11961.6</v>
      </c>
      <c r="AK79" s="43">
        <f t="shared" si="47"/>
        <v>3659.838838656</v>
      </c>
      <c r="AL79" s="28">
        <f t="shared" si="48"/>
        <v>0.759453584804708</v>
      </c>
      <c r="AM79" s="28">
        <f t="shared" si="49"/>
        <v>0.975537491511818</v>
      </c>
      <c r="AN79" s="43">
        <f t="shared" si="50"/>
        <v>4625.152</v>
      </c>
      <c r="AP79" s="28">
        <f t="shared" si="51"/>
        <v>0.2937270336</v>
      </c>
      <c r="AQ79" s="43">
        <f t="shared" si="52"/>
        <v>1358.53217690911</v>
      </c>
      <c r="AR79" s="43">
        <f t="shared" si="53"/>
        <v>13875.456</v>
      </c>
      <c r="AS79" s="43">
        <f t="shared" si="54"/>
        <v>4075.59653072732</v>
      </c>
      <c r="AT79" s="107">
        <f t="shared" si="55"/>
        <v>0.654701366210956</v>
      </c>
      <c r="AU79" s="107">
        <f t="shared" si="56"/>
        <v>0.876021454302998</v>
      </c>
    </row>
    <row r="80" spans="1:47">
      <c r="A80" s="25">
        <v>114</v>
      </c>
      <c r="B80" s="26">
        <v>118951</v>
      </c>
      <c r="C80" s="27" t="s">
        <v>120</v>
      </c>
      <c r="D80" s="26" t="s">
        <v>39</v>
      </c>
      <c r="E80" s="25">
        <v>3500</v>
      </c>
      <c r="F80" s="28">
        <v>0.3093</v>
      </c>
      <c r="G80" s="25">
        <f t="shared" si="31"/>
        <v>1082.55</v>
      </c>
      <c r="H80" s="29">
        <f>VLOOKUP(B80,[3]Sheet2!$A:$C,3,0)</f>
        <v>2</v>
      </c>
      <c r="J80" s="30">
        <f>VLOOKUP(B80,[1]查询时间段分门店销售汇总!$D:$L,9,0)</f>
        <v>16273.09</v>
      </c>
      <c r="K80" s="30">
        <f>VLOOKUP(B80,[1]查询时间段分门店销售汇总!$D:$M,10,0)</f>
        <v>5165.45</v>
      </c>
      <c r="L80" s="31">
        <f>E80*1.6</f>
        <v>5600</v>
      </c>
      <c r="M80" s="32">
        <v>0.2891955</v>
      </c>
      <c r="N80" s="37">
        <f t="shared" si="32"/>
        <v>1619.4948</v>
      </c>
      <c r="O80" s="37">
        <f t="shared" si="33"/>
        <v>22400</v>
      </c>
      <c r="P80" s="37">
        <f t="shared" si="34"/>
        <v>6477.9792</v>
      </c>
      <c r="Q80" s="81">
        <f t="shared" si="35"/>
        <v>0.726477232142857</v>
      </c>
      <c r="R80" s="81">
        <f t="shared" si="36"/>
        <v>0.79738601198349</v>
      </c>
      <c r="S80" s="82">
        <f t="shared" si="37"/>
        <v>6440</v>
      </c>
      <c r="T80" s="83"/>
      <c r="U80" s="82">
        <f t="shared" si="30"/>
        <v>-61.2691</v>
      </c>
      <c r="V80" s="84">
        <f t="shared" si="57"/>
        <v>-30.63455</v>
      </c>
      <c r="W80" s="32">
        <f t="shared" si="38"/>
        <v>0.27184377</v>
      </c>
      <c r="X80" s="37">
        <f t="shared" si="39"/>
        <v>1750.6738788</v>
      </c>
      <c r="Y80" s="38">
        <f t="shared" si="40"/>
        <v>25760</v>
      </c>
      <c r="Z80" s="38">
        <f t="shared" si="41"/>
        <v>7002.6955152</v>
      </c>
      <c r="AA80" s="81">
        <f t="shared" si="42"/>
        <v>0.631719332298137</v>
      </c>
      <c r="AB80" s="81">
        <f t="shared" si="43"/>
        <v>0.73763738388852</v>
      </c>
      <c r="AC80" s="71"/>
      <c r="AD80" s="71"/>
      <c r="AE80" s="98">
        <f>VLOOKUP(B80,[2]查询时间段分门店销售汇总!$D:$L,9,0)</f>
        <v>11253.71</v>
      </c>
      <c r="AF80" s="98">
        <f>VLOOKUP(B80,[2]查询时间段分门店销售汇总!$D:$M,10,0)</f>
        <v>3592.85</v>
      </c>
      <c r="AG80" s="41">
        <f t="shared" si="44"/>
        <v>4984</v>
      </c>
      <c r="AH80" s="28">
        <v>0.2935334325</v>
      </c>
      <c r="AI80" s="43">
        <f t="shared" si="45"/>
        <v>1462.97062758</v>
      </c>
      <c r="AJ80" s="43">
        <f t="shared" si="46"/>
        <v>14952</v>
      </c>
      <c r="AK80" s="43">
        <f t="shared" si="47"/>
        <v>4388.91188274</v>
      </c>
      <c r="AL80" s="28">
        <f t="shared" si="48"/>
        <v>0.75265583199572</v>
      </c>
      <c r="AM80" s="28">
        <f t="shared" si="49"/>
        <v>0.818619761797765</v>
      </c>
      <c r="AN80" s="43">
        <f t="shared" si="50"/>
        <v>5781.44</v>
      </c>
      <c r="AP80" s="28">
        <f t="shared" si="51"/>
        <v>0.2817920952</v>
      </c>
      <c r="AQ80" s="43">
        <f t="shared" si="52"/>
        <v>1629.16409087309</v>
      </c>
      <c r="AR80" s="43">
        <f t="shared" si="53"/>
        <v>17344.32</v>
      </c>
      <c r="AS80" s="43">
        <f t="shared" si="54"/>
        <v>4887.49227261926</v>
      </c>
      <c r="AT80" s="107">
        <f t="shared" si="55"/>
        <v>0.648841234479069</v>
      </c>
      <c r="AU80" s="107">
        <f t="shared" si="56"/>
        <v>0.735111136671844</v>
      </c>
    </row>
    <row r="81" spans="1:47">
      <c r="A81" s="25">
        <v>89</v>
      </c>
      <c r="B81" s="26">
        <v>704</v>
      </c>
      <c r="C81" s="27" t="s">
        <v>121</v>
      </c>
      <c r="D81" s="26" t="s">
        <v>46</v>
      </c>
      <c r="E81" s="25">
        <v>4000</v>
      </c>
      <c r="F81" s="28">
        <v>0.2989</v>
      </c>
      <c r="G81" s="25">
        <f t="shared" si="31"/>
        <v>1195.6</v>
      </c>
      <c r="H81" s="29">
        <f>VLOOKUP(B81,[3]Sheet2!$A:$C,3,0)</f>
        <v>2</v>
      </c>
      <c r="J81" s="30">
        <f>VLOOKUP(B81,[1]查询时间段分门店销售汇总!$D:$L,9,0)</f>
        <v>17990.82</v>
      </c>
      <c r="K81" s="30">
        <f>VLOOKUP(B81,[1]查询时间段分门店销售汇总!$D:$M,10,0)</f>
        <v>4771.92</v>
      </c>
      <c r="L81" s="31">
        <f>E81*1.55</f>
        <v>6200</v>
      </c>
      <c r="M81" s="32">
        <v>0.2794715</v>
      </c>
      <c r="N81" s="37">
        <f t="shared" si="32"/>
        <v>1732.7233</v>
      </c>
      <c r="O81" s="37">
        <f t="shared" si="33"/>
        <v>24800</v>
      </c>
      <c r="P81" s="37">
        <f t="shared" si="34"/>
        <v>6930.8932</v>
      </c>
      <c r="Q81" s="81">
        <f t="shared" si="35"/>
        <v>0.725436290322581</v>
      </c>
      <c r="R81" s="81">
        <f t="shared" si="36"/>
        <v>0.688500004588153</v>
      </c>
      <c r="S81" s="82">
        <f t="shared" si="37"/>
        <v>7130</v>
      </c>
      <c r="T81" s="83"/>
      <c r="U81" s="82">
        <f t="shared" si="30"/>
        <v>-68.0918</v>
      </c>
      <c r="V81" s="84">
        <f t="shared" si="57"/>
        <v>-34.0459</v>
      </c>
      <c r="W81" s="32">
        <f t="shared" si="38"/>
        <v>0.26270321</v>
      </c>
      <c r="X81" s="37">
        <f t="shared" si="39"/>
        <v>1873.0738873</v>
      </c>
      <c r="Y81" s="38">
        <f t="shared" si="40"/>
        <v>28520</v>
      </c>
      <c r="Z81" s="38">
        <f t="shared" si="41"/>
        <v>7492.2955492</v>
      </c>
      <c r="AA81" s="81">
        <f t="shared" si="42"/>
        <v>0.630814165497896</v>
      </c>
      <c r="AB81" s="81">
        <f t="shared" si="43"/>
        <v>0.636910272514481</v>
      </c>
      <c r="AC81" s="71"/>
      <c r="AD81" s="71"/>
      <c r="AE81" s="98">
        <f>VLOOKUP(B81,[2]查询时间段分门店销售汇总!$D:$L,9,0)</f>
        <v>13163.1</v>
      </c>
      <c r="AF81" s="98">
        <f>VLOOKUP(B81,[2]查询时间段分门店销售汇总!$D:$M,10,0)</f>
        <v>3433.49</v>
      </c>
      <c r="AG81" s="41">
        <f t="shared" si="44"/>
        <v>5518</v>
      </c>
      <c r="AH81" s="28">
        <v>0.2836635725</v>
      </c>
      <c r="AI81" s="43">
        <f t="shared" si="45"/>
        <v>1565.255593055</v>
      </c>
      <c r="AJ81" s="43">
        <f t="shared" si="46"/>
        <v>16554</v>
      </c>
      <c r="AK81" s="43">
        <f t="shared" si="47"/>
        <v>4695.766779165</v>
      </c>
      <c r="AL81" s="28">
        <f t="shared" si="48"/>
        <v>0.795161290322581</v>
      </c>
      <c r="AM81" s="28">
        <f t="shared" si="49"/>
        <v>0.731188357827801</v>
      </c>
      <c r="AN81" s="43">
        <f t="shared" si="50"/>
        <v>6400.88</v>
      </c>
      <c r="AP81" s="28">
        <f t="shared" si="51"/>
        <v>0.2723170296</v>
      </c>
      <c r="AQ81" s="43">
        <f t="shared" si="52"/>
        <v>1743.06862842605</v>
      </c>
      <c r="AR81" s="43">
        <f t="shared" si="53"/>
        <v>19202.64</v>
      </c>
      <c r="AS81" s="43">
        <f t="shared" si="54"/>
        <v>5229.20588527814</v>
      </c>
      <c r="AT81" s="107">
        <f t="shared" si="55"/>
        <v>0.685483870967742</v>
      </c>
      <c r="AU81" s="107">
        <f t="shared" si="56"/>
        <v>0.656598740865483</v>
      </c>
    </row>
    <row r="82" spans="1:47">
      <c r="A82" s="25">
        <v>42</v>
      </c>
      <c r="B82" s="26">
        <v>726</v>
      </c>
      <c r="C82" s="27" t="s">
        <v>122</v>
      </c>
      <c r="D82" s="26" t="s">
        <v>37</v>
      </c>
      <c r="E82" s="25">
        <v>6600</v>
      </c>
      <c r="F82" s="28">
        <v>0.2858</v>
      </c>
      <c r="G82" s="25">
        <f t="shared" si="31"/>
        <v>1886.28</v>
      </c>
      <c r="H82" s="29">
        <f>VLOOKUP(B82,[3]Sheet2!$A:$C,3,0)</f>
        <v>2</v>
      </c>
      <c r="I82" s="25">
        <f>VLOOKUP(B82,[3]实习生!$A:$C,3,0)</f>
        <v>1</v>
      </c>
      <c r="J82" s="30">
        <f>VLOOKUP(B82,[1]查询时间段分门店销售汇总!$D:$L,9,0)</f>
        <v>27679.19</v>
      </c>
      <c r="K82" s="30">
        <f>VLOOKUP(B82,[1]查询时间段分门店销售汇总!$D:$M,10,0)</f>
        <v>7671.42</v>
      </c>
      <c r="L82" s="31">
        <f>E82*1.45</f>
        <v>9570</v>
      </c>
      <c r="M82" s="32">
        <v>0.267223</v>
      </c>
      <c r="N82" s="37">
        <f t="shared" si="32"/>
        <v>2557.32411</v>
      </c>
      <c r="O82" s="37">
        <f t="shared" si="33"/>
        <v>38280</v>
      </c>
      <c r="P82" s="37">
        <f t="shared" si="34"/>
        <v>10229.29644</v>
      </c>
      <c r="Q82" s="81">
        <f t="shared" si="35"/>
        <v>0.72307183908046</v>
      </c>
      <c r="R82" s="81">
        <f t="shared" si="36"/>
        <v>0.749946005084197</v>
      </c>
      <c r="S82" s="82">
        <f t="shared" si="37"/>
        <v>11005.5</v>
      </c>
      <c r="T82" s="83"/>
      <c r="U82" s="82">
        <f t="shared" ref="U82:U113" si="58">(J82-O82)*0.01</f>
        <v>-106.0081</v>
      </c>
      <c r="V82" s="84">
        <f t="shared" si="57"/>
        <v>-53.00405</v>
      </c>
      <c r="W82" s="32">
        <f t="shared" si="38"/>
        <v>0.25118962</v>
      </c>
      <c r="X82" s="37">
        <f t="shared" si="39"/>
        <v>2764.46736291</v>
      </c>
      <c r="Y82" s="38">
        <f t="shared" si="40"/>
        <v>44022</v>
      </c>
      <c r="Z82" s="38">
        <f t="shared" si="41"/>
        <v>11057.86945164</v>
      </c>
      <c r="AA82" s="81">
        <f t="shared" si="42"/>
        <v>0.62875812093953</v>
      </c>
      <c r="AB82" s="81">
        <f t="shared" si="43"/>
        <v>0.69375208610934</v>
      </c>
      <c r="AC82" s="71"/>
      <c r="AD82" s="71"/>
      <c r="AE82" s="98">
        <f>VLOOKUP(B82,[2]查询时间段分门店销售汇总!$D:$L,9,0)</f>
        <v>17618.34</v>
      </c>
      <c r="AF82" s="98">
        <f>VLOOKUP(B82,[2]查询时间段分门店销售汇总!$D:$M,10,0)</f>
        <v>5082.19</v>
      </c>
      <c r="AG82" s="41">
        <f t="shared" si="44"/>
        <v>8517.3</v>
      </c>
      <c r="AH82" s="28">
        <v>0.271231345</v>
      </c>
      <c r="AI82" s="43">
        <f t="shared" si="45"/>
        <v>2310.1587347685</v>
      </c>
      <c r="AJ82" s="43">
        <f t="shared" si="46"/>
        <v>25551.9</v>
      </c>
      <c r="AK82" s="43">
        <f t="shared" si="47"/>
        <v>6930.4762043055</v>
      </c>
      <c r="AL82" s="28">
        <f t="shared" si="48"/>
        <v>0.689511934533244</v>
      </c>
      <c r="AM82" s="28">
        <f t="shared" si="49"/>
        <v>0.733310359949397</v>
      </c>
      <c r="AN82" s="43">
        <f t="shared" si="50"/>
        <v>9880.068</v>
      </c>
      <c r="AP82" s="28">
        <f t="shared" si="51"/>
        <v>0.2603820912</v>
      </c>
      <c r="AQ82" s="43">
        <f t="shared" si="52"/>
        <v>2572.5927670382</v>
      </c>
      <c r="AR82" s="43">
        <f t="shared" si="53"/>
        <v>29640.204</v>
      </c>
      <c r="AS82" s="43">
        <f t="shared" si="54"/>
        <v>7717.7783011146</v>
      </c>
      <c r="AT82" s="107">
        <f t="shared" si="55"/>
        <v>0.594406840114866</v>
      </c>
      <c r="AU82" s="107">
        <f t="shared" si="56"/>
        <v>0.658504274379847</v>
      </c>
    </row>
    <row r="83" spans="1:47">
      <c r="A83" s="25">
        <v>82</v>
      </c>
      <c r="B83" s="26">
        <v>116919</v>
      </c>
      <c r="C83" s="27" t="s">
        <v>123</v>
      </c>
      <c r="D83" s="26" t="s">
        <v>34</v>
      </c>
      <c r="E83" s="25">
        <v>4500</v>
      </c>
      <c r="F83" s="28">
        <v>0.33</v>
      </c>
      <c r="G83" s="25">
        <f t="shared" si="31"/>
        <v>1485</v>
      </c>
      <c r="H83" s="29">
        <f>VLOOKUP(B83,[3]Sheet2!$A:$C,3,0)</f>
        <v>2</v>
      </c>
      <c r="J83" s="30">
        <f>VLOOKUP(B83,[1]查询时间段分门店销售汇总!$D:$L,9,0)</f>
        <v>20015.3</v>
      </c>
      <c r="K83" s="30">
        <f>VLOOKUP(B83,[1]查询时间段分门店销售汇总!$D:$M,10,0)</f>
        <v>6237.91</v>
      </c>
      <c r="L83" s="31">
        <f>E83*1.55</f>
        <v>6975</v>
      </c>
      <c r="M83" s="32">
        <v>0.30855</v>
      </c>
      <c r="N83" s="37">
        <f t="shared" si="32"/>
        <v>2152.13625</v>
      </c>
      <c r="O83" s="37">
        <f t="shared" si="33"/>
        <v>27900</v>
      </c>
      <c r="P83" s="37">
        <f t="shared" si="34"/>
        <v>8608.545</v>
      </c>
      <c r="Q83" s="81">
        <f t="shared" si="35"/>
        <v>0.717394265232975</v>
      </c>
      <c r="R83" s="81">
        <f t="shared" si="36"/>
        <v>0.724618387892495</v>
      </c>
      <c r="S83" s="82">
        <f t="shared" si="37"/>
        <v>8021.25</v>
      </c>
      <c r="T83" s="83"/>
      <c r="U83" s="82">
        <f t="shared" si="58"/>
        <v>-78.847</v>
      </c>
      <c r="V83" s="84">
        <f t="shared" si="57"/>
        <v>-39.4235</v>
      </c>
      <c r="W83" s="32">
        <f t="shared" si="38"/>
        <v>0.290037</v>
      </c>
      <c r="X83" s="37">
        <f t="shared" si="39"/>
        <v>2326.45928625</v>
      </c>
      <c r="Y83" s="38">
        <f t="shared" si="40"/>
        <v>32085</v>
      </c>
      <c r="Z83" s="38">
        <f t="shared" si="41"/>
        <v>9305.837145</v>
      </c>
      <c r="AA83" s="81">
        <f t="shared" si="42"/>
        <v>0.623821100202587</v>
      </c>
      <c r="AB83" s="81">
        <f t="shared" si="43"/>
        <v>0.670322282971781</v>
      </c>
      <c r="AC83" s="71"/>
      <c r="AD83" s="71"/>
      <c r="AE83" s="98">
        <f>VLOOKUP(B83,[2]查询时间段分门店销售汇总!$D:$L,9,0)</f>
        <v>12508.34</v>
      </c>
      <c r="AF83" s="98">
        <f>VLOOKUP(B83,[2]查询时间段分门店销售汇总!$D:$M,10,0)</f>
        <v>3458.45</v>
      </c>
      <c r="AG83" s="41">
        <f t="shared" si="44"/>
        <v>6207.75</v>
      </c>
      <c r="AH83" s="28">
        <v>0.31317825</v>
      </c>
      <c r="AI83" s="43">
        <f t="shared" si="45"/>
        <v>1944.1322814375</v>
      </c>
      <c r="AJ83" s="43">
        <f t="shared" si="46"/>
        <v>18623.25</v>
      </c>
      <c r="AK83" s="43">
        <f t="shared" si="47"/>
        <v>5832.3968443125</v>
      </c>
      <c r="AL83" s="28">
        <f t="shared" si="48"/>
        <v>0.67165183305814</v>
      </c>
      <c r="AM83" s="28">
        <f t="shared" si="49"/>
        <v>0.592972339214628</v>
      </c>
      <c r="AN83" s="43">
        <f t="shared" si="50"/>
        <v>7200.99</v>
      </c>
      <c r="AP83" s="28">
        <f t="shared" si="51"/>
        <v>0.30065112</v>
      </c>
      <c r="AQ83" s="43">
        <f t="shared" si="52"/>
        <v>2164.9857086088</v>
      </c>
      <c r="AR83" s="43">
        <f t="shared" si="53"/>
        <v>21602.97</v>
      </c>
      <c r="AS83" s="43">
        <f t="shared" si="54"/>
        <v>6494.9571258264</v>
      </c>
      <c r="AT83" s="107">
        <f t="shared" si="55"/>
        <v>0.579010200912189</v>
      </c>
      <c r="AU83" s="107">
        <f t="shared" si="56"/>
        <v>0.532482344840722</v>
      </c>
    </row>
    <row r="84" spans="1:47">
      <c r="A84" s="25">
        <v>136</v>
      </c>
      <c r="B84" s="26">
        <v>118758</v>
      </c>
      <c r="C84" s="27" t="s">
        <v>124</v>
      </c>
      <c r="D84" s="26" t="s">
        <v>42</v>
      </c>
      <c r="E84" s="25">
        <v>2500</v>
      </c>
      <c r="F84" s="28">
        <v>0.2856</v>
      </c>
      <c r="G84" s="25">
        <f t="shared" si="31"/>
        <v>714</v>
      </c>
      <c r="H84" s="29">
        <f>VLOOKUP(B84,[3]Sheet2!$A:$C,3,0)</f>
        <v>2</v>
      </c>
      <c r="J84" s="30">
        <f>VLOOKUP(B84,[1]查询时间段分门店销售汇总!$D:$L,9,0)</f>
        <v>11435.78</v>
      </c>
      <c r="K84" s="30">
        <f>VLOOKUP(B84,[1]查询时间段分门店销售汇总!$D:$M,10,0)</f>
        <v>2501.68</v>
      </c>
      <c r="L84" s="31">
        <f>E84*1.6</f>
        <v>4000</v>
      </c>
      <c r="M84" s="32">
        <v>0.267036</v>
      </c>
      <c r="N84" s="37">
        <f t="shared" si="32"/>
        <v>1068.144</v>
      </c>
      <c r="O84" s="37">
        <f t="shared" si="33"/>
        <v>16000</v>
      </c>
      <c r="P84" s="37">
        <f t="shared" si="34"/>
        <v>4272.576</v>
      </c>
      <c r="Q84" s="81">
        <f t="shared" si="35"/>
        <v>0.71473625</v>
      </c>
      <c r="R84" s="81">
        <f t="shared" si="36"/>
        <v>0.585520304378436</v>
      </c>
      <c r="S84" s="82">
        <f t="shared" si="37"/>
        <v>4600</v>
      </c>
      <c r="T84" s="83"/>
      <c r="U84" s="82">
        <f t="shared" si="58"/>
        <v>-45.6422</v>
      </c>
      <c r="V84" s="84">
        <f t="shared" si="57"/>
        <v>-22.8211</v>
      </c>
      <c r="W84" s="32">
        <f t="shared" si="38"/>
        <v>0.25101384</v>
      </c>
      <c r="X84" s="37">
        <f t="shared" si="39"/>
        <v>1154.663664</v>
      </c>
      <c r="Y84" s="38">
        <f t="shared" si="40"/>
        <v>18400</v>
      </c>
      <c r="Z84" s="38">
        <f t="shared" si="41"/>
        <v>4618.654656</v>
      </c>
      <c r="AA84" s="81">
        <f t="shared" si="42"/>
        <v>0.621509782608696</v>
      </c>
      <c r="AB84" s="81">
        <f t="shared" si="43"/>
        <v>0.541646905067933</v>
      </c>
      <c r="AC84" s="71"/>
      <c r="AD84" s="71"/>
      <c r="AE84" s="98">
        <f>VLOOKUP(B84,[2]查询时间段分门店销售汇总!$D:$L,9,0)</f>
        <v>7581.34</v>
      </c>
      <c r="AF84" s="98">
        <f>VLOOKUP(B84,[2]查询时间段分门店销售汇总!$D:$M,10,0)</f>
        <v>1846.2</v>
      </c>
      <c r="AG84" s="41">
        <f t="shared" si="44"/>
        <v>3560</v>
      </c>
      <c r="AH84" s="28">
        <v>0.27104154</v>
      </c>
      <c r="AI84" s="43">
        <f t="shared" si="45"/>
        <v>964.9078824</v>
      </c>
      <c r="AJ84" s="43">
        <f t="shared" si="46"/>
        <v>10680</v>
      </c>
      <c r="AK84" s="43">
        <f t="shared" si="47"/>
        <v>2894.7236472</v>
      </c>
      <c r="AL84" s="28">
        <f t="shared" si="48"/>
        <v>0.70986329588015</v>
      </c>
      <c r="AM84" s="28">
        <f t="shared" si="49"/>
        <v>0.637781088977453</v>
      </c>
      <c r="AN84" s="43">
        <f t="shared" si="50"/>
        <v>4129.6</v>
      </c>
      <c r="AP84" s="28">
        <f t="shared" si="51"/>
        <v>0.2601998784</v>
      </c>
      <c r="AQ84" s="43">
        <f t="shared" si="52"/>
        <v>1074.52141784064</v>
      </c>
      <c r="AR84" s="43">
        <f t="shared" si="53"/>
        <v>12388.8</v>
      </c>
      <c r="AS84" s="43">
        <f t="shared" si="54"/>
        <v>3223.56425352192</v>
      </c>
      <c r="AT84" s="107">
        <f t="shared" si="55"/>
        <v>0.61195111713806</v>
      </c>
      <c r="AU84" s="107">
        <f t="shared" si="56"/>
        <v>0.572720087084638</v>
      </c>
    </row>
    <row r="85" spans="1:47">
      <c r="A85" s="25">
        <v>63</v>
      </c>
      <c r="B85" s="26">
        <v>103199</v>
      </c>
      <c r="C85" s="27" t="s">
        <v>125</v>
      </c>
      <c r="D85" s="26" t="s">
        <v>65</v>
      </c>
      <c r="E85" s="25">
        <v>5300</v>
      </c>
      <c r="F85" s="28">
        <v>0.3341</v>
      </c>
      <c r="G85" s="25">
        <f t="shared" si="31"/>
        <v>1770.73</v>
      </c>
      <c r="H85" s="29">
        <f>VLOOKUP(B85,[3]Sheet2!$A:$C,3,0)</f>
        <v>2</v>
      </c>
      <c r="I85" s="25">
        <f>VLOOKUP(B85,[3]实习生!$A:$C,3,0)</f>
        <v>2</v>
      </c>
      <c r="J85" s="30">
        <f>VLOOKUP(B85,[1]查询时间段分门店销售汇总!$D:$L,9,0)</f>
        <v>22687.35</v>
      </c>
      <c r="K85" s="30">
        <f>VLOOKUP(B85,[1]查询时间段分门店销售汇总!$D:$M,10,0)</f>
        <v>6665.51</v>
      </c>
      <c r="L85" s="31">
        <f>E85*1.5</f>
        <v>7950</v>
      </c>
      <c r="M85" s="32">
        <v>0.3123835</v>
      </c>
      <c r="N85" s="37">
        <f t="shared" si="32"/>
        <v>2483.448825</v>
      </c>
      <c r="O85" s="37">
        <f t="shared" si="33"/>
        <v>31800</v>
      </c>
      <c r="P85" s="37">
        <f t="shared" si="34"/>
        <v>9933.7953</v>
      </c>
      <c r="Q85" s="81">
        <f t="shared" si="35"/>
        <v>0.713438679245283</v>
      </c>
      <c r="R85" s="81">
        <f t="shared" si="36"/>
        <v>0.670993290952955</v>
      </c>
      <c r="S85" s="82">
        <f t="shared" si="37"/>
        <v>9142.5</v>
      </c>
      <c r="T85" s="83"/>
      <c r="U85" s="82">
        <f t="shared" si="58"/>
        <v>-91.1265</v>
      </c>
      <c r="V85" s="84">
        <f t="shared" si="57"/>
        <v>-45.56325</v>
      </c>
      <c r="W85" s="32">
        <f t="shared" si="38"/>
        <v>0.29364049</v>
      </c>
      <c r="X85" s="37">
        <f t="shared" si="39"/>
        <v>2684.608179825</v>
      </c>
      <c r="Y85" s="38">
        <f t="shared" si="40"/>
        <v>36570</v>
      </c>
      <c r="Z85" s="38">
        <f t="shared" si="41"/>
        <v>10738.4327193</v>
      </c>
      <c r="AA85" s="81">
        <f t="shared" si="42"/>
        <v>0.62038146021329</v>
      </c>
      <c r="AB85" s="81">
        <f t="shared" si="43"/>
        <v>0.620715347782567</v>
      </c>
      <c r="AC85" s="71"/>
      <c r="AD85" s="71"/>
      <c r="AE85" s="98">
        <f>VLOOKUP(B85,[2]查询时间段分门店销售汇总!$D:$L,9,0)</f>
        <v>15992.48</v>
      </c>
      <c r="AF85" s="98">
        <f>VLOOKUP(B85,[2]查询时间段分门店销售汇总!$D:$M,10,0)</f>
        <v>5314.33</v>
      </c>
      <c r="AG85" s="41">
        <f t="shared" si="44"/>
        <v>7075.5</v>
      </c>
      <c r="AH85" s="28">
        <v>0.3170692525</v>
      </c>
      <c r="AI85" s="43">
        <f t="shared" si="45"/>
        <v>2243.42349606375</v>
      </c>
      <c r="AJ85" s="43">
        <f t="shared" si="46"/>
        <v>21226.5</v>
      </c>
      <c r="AK85" s="43">
        <f t="shared" si="47"/>
        <v>6730.27048819125</v>
      </c>
      <c r="AL85" s="28">
        <f t="shared" si="48"/>
        <v>0.753420488540268</v>
      </c>
      <c r="AM85" s="28">
        <f t="shared" si="49"/>
        <v>0.789616109683018</v>
      </c>
      <c r="AN85" s="43">
        <f t="shared" si="50"/>
        <v>8207.58</v>
      </c>
      <c r="AP85" s="28">
        <f t="shared" si="51"/>
        <v>0.3043864824</v>
      </c>
      <c r="AQ85" s="43">
        <f t="shared" si="52"/>
        <v>2498.27640521659</v>
      </c>
      <c r="AR85" s="43">
        <f t="shared" si="53"/>
        <v>24622.74</v>
      </c>
      <c r="AS85" s="43">
        <f t="shared" si="54"/>
        <v>7494.82921564978</v>
      </c>
      <c r="AT85" s="107">
        <f t="shared" si="55"/>
        <v>0.649500421155404</v>
      </c>
      <c r="AU85" s="107">
        <f t="shared" si="56"/>
        <v>0.709066190448112</v>
      </c>
    </row>
    <row r="86" spans="1:47">
      <c r="A86" s="25">
        <v>79</v>
      </c>
      <c r="B86" s="26">
        <v>308</v>
      </c>
      <c r="C86" s="27" t="s">
        <v>126</v>
      </c>
      <c r="D86" s="26" t="s">
        <v>65</v>
      </c>
      <c r="E86" s="25">
        <v>4500</v>
      </c>
      <c r="F86" s="28">
        <v>0.3659</v>
      </c>
      <c r="G86" s="25">
        <f t="shared" si="31"/>
        <v>1646.55</v>
      </c>
      <c r="H86" s="29">
        <f>VLOOKUP(B86,[3]Sheet2!$A:$C,3,0)</f>
        <v>3</v>
      </c>
      <c r="J86" s="30">
        <f>VLOOKUP(B86,[1]查询时间段分门店销售汇总!$D:$L,9,0)</f>
        <v>19849.94</v>
      </c>
      <c r="K86" s="30">
        <f>VLOOKUP(B86,[1]查询时间段分门店销售汇总!$D:$M,10,0)</f>
        <v>7501.05</v>
      </c>
      <c r="L86" s="31">
        <f>E86*1.55</f>
        <v>6975</v>
      </c>
      <c r="M86" s="32">
        <v>0.32</v>
      </c>
      <c r="N86" s="37">
        <f t="shared" si="32"/>
        <v>2232</v>
      </c>
      <c r="O86" s="37">
        <f t="shared" si="33"/>
        <v>27900</v>
      </c>
      <c r="P86" s="37">
        <f t="shared" si="34"/>
        <v>8928</v>
      </c>
      <c r="Q86" s="81">
        <f t="shared" si="35"/>
        <v>0.711467383512545</v>
      </c>
      <c r="R86" s="81">
        <f t="shared" si="36"/>
        <v>0.840171370967742</v>
      </c>
      <c r="S86" s="82">
        <f t="shared" si="37"/>
        <v>8021.25</v>
      </c>
      <c r="T86" s="83"/>
      <c r="U86" s="82">
        <f t="shared" si="58"/>
        <v>-80.5006</v>
      </c>
      <c r="V86" s="84">
        <f t="shared" si="57"/>
        <v>-40.2503</v>
      </c>
      <c r="W86" s="32">
        <f t="shared" si="38"/>
        <v>0.3008</v>
      </c>
      <c r="X86" s="37">
        <f t="shared" si="39"/>
        <v>2412.792</v>
      </c>
      <c r="Y86" s="38">
        <f t="shared" si="40"/>
        <v>32085</v>
      </c>
      <c r="Z86" s="38">
        <f t="shared" si="41"/>
        <v>9651.168</v>
      </c>
      <c r="AA86" s="81">
        <f t="shared" si="42"/>
        <v>0.618667290010909</v>
      </c>
      <c r="AB86" s="81">
        <f t="shared" si="43"/>
        <v>0.777216809405867</v>
      </c>
      <c r="AC86" s="71"/>
      <c r="AD86" s="71"/>
      <c r="AE86" s="98">
        <f>VLOOKUP(B86,[2]查询时间段分门店销售汇总!$D:$L,9,0)</f>
        <v>10282.69</v>
      </c>
      <c r="AF86" s="98">
        <f>VLOOKUP(B86,[2]查询时间段分门店销售汇总!$D:$M,10,0)</f>
        <v>3565.86</v>
      </c>
      <c r="AG86" s="41">
        <f t="shared" si="44"/>
        <v>6207.75</v>
      </c>
      <c r="AH86" s="28">
        <v>0.3248</v>
      </c>
      <c r="AI86" s="43">
        <f t="shared" si="45"/>
        <v>2016.2772</v>
      </c>
      <c r="AJ86" s="43">
        <f t="shared" si="46"/>
        <v>18623.25</v>
      </c>
      <c r="AK86" s="43">
        <f t="shared" si="47"/>
        <v>6048.8316</v>
      </c>
      <c r="AL86" s="28">
        <f t="shared" si="48"/>
        <v>0.552142617427141</v>
      </c>
      <c r="AM86" s="28">
        <f t="shared" si="49"/>
        <v>0.589512196041298</v>
      </c>
      <c r="AN86" s="43">
        <f t="shared" si="50"/>
        <v>7200.99</v>
      </c>
      <c r="AP86" s="28">
        <f t="shared" si="51"/>
        <v>0.311808</v>
      </c>
      <c r="AQ86" s="43">
        <f t="shared" si="52"/>
        <v>2245.32628992</v>
      </c>
      <c r="AR86" s="43">
        <f t="shared" si="53"/>
        <v>21602.97</v>
      </c>
      <c r="AS86" s="43">
        <f t="shared" si="54"/>
        <v>6735.97886976</v>
      </c>
      <c r="AT86" s="107">
        <f t="shared" si="55"/>
        <v>0.475985015023397</v>
      </c>
      <c r="AU86" s="107">
        <f t="shared" si="56"/>
        <v>0.529375176042833</v>
      </c>
    </row>
    <row r="87" spans="1:47">
      <c r="A87" s="25">
        <v>17</v>
      </c>
      <c r="B87" s="26">
        <v>373</v>
      </c>
      <c r="C87" s="27" t="s">
        <v>127</v>
      </c>
      <c r="D87" s="26" t="s">
        <v>42</v>
      </c>
      <c r="E87" s="25">
        <v>8800</v>
      </c>
      <c r="F87" s="28">
        <v>0.3175</v>
      </c>
      <c r="G87" s="25">
        <f t="shared" si="31"/>
        <v>2794</v>
      </c>
      <c r="H87" s="29">
        <f>VLOOKUP(B87,[3]Sheet2!$A:$C,3,0)</f>
        <v>4</v>
      </c>
      <c r="J87" s="30">
        <f>VLOOKUP(B87,[1]查询时间段分门店销售汇总!$D:$L,9,0)</f>
        <v>34988.84</v>
      </c>
      <c r="K87" s="30">
        <f>VLOOKUP(B87,[1]查询时间段分门店销售汇总!$D:$M,10,0)</f>
        <v>9512.27</v>
      </c>
      <c r="L87" s="31">
        <f>E87*1.4</f>
        <v>12320</v>
      </c>
      <c r="M87" s="32">
        <v>0.2968625</v>
      </c>
      <c r="N87" s="37">
        <f t="shared" si="32"/>
        <v>3657.346</v>
      </c>
      <c r="O87" s="37">
        <f t="shared" si="33"/>
        <v>49280</v>
      </c>
      <c r="P87" s="37">
        <f t="shared" si="34"/>
        <v>14629.384</v>
      </c>
      <c r="Q87" s="81">
        <f t="shared" si="35"/>
        <v>0.710000811688312</v>
      </c>
      <c r="R87" s="81">
        <f t="shared" si="36"/>
        <v>0.650216714524686</v>
      </c>
      <c r="S87" s="82">
        <f t="shared" si="37"/>
        <v>14168</v>
      </c>
      <c r="T87" s="83"/>
      <c r="U87" s="82">
        <f t="shared" si="58"/>
        <v>-142.9116</v>
      </c>
      <c r="V87" s="84">
        <f t="shared" si="57"/>
        <v>-71.4558</v>
      </c>
      <c r="W87" s="32">
        <f t="shared" si="38"/>
        <v>0.27905075</v>
      </c>
      <c r="X87" s="37">
        <f t="shared" si="39"/>
        <v>3953.591026</v>
      </c>
      <c r="Y87" s="38">
        <f t="shared" si="40"/>
        <v>56672</v>
      </c>
      <c r="Z87" s="38">
        <f t="shared" si="41"/>
        <v>15814.364104</v>
      </c>
      <c r="AA87" s="81">
        <f t="shared" si="42"/>
        <v>0.617392010163749</v>
      </c>
      <c r="AB87" s="81">
        <f t="shared" si="43"/>
        <v>0.601495573103317</v>
      </c>
      <c r="AC87" s="71"/>
      <c r="AD87" s="71"/>
      <c r="AE87" s="98">
        <f>VLOOKUP(B87,[2]查询时间段分门店销售汇总!$D:$L,9,0)</f>
        <v>28732.29</v>
      </c>
      <c r="AF87" s="98">
        <f>VLOOKUP(B87,[2]查询时间段分门店销售汇总!$D:$M,10,0)</f>
        <v>9544.93</v>
      </c>
      <c r="AG87" s="41">
        <f t="shared" si="44"/>
        <v>10964.8</v>
      </c>
      <c r="AH87" s="28">
        <v>0.3013154375</v>
      </c>
      <c r="AI87" s="43">
        <f t="shared" si="45"/>
        <v>3303.8635091</v>
      </c>
      <c r="AJ87" s="43">
        <f t="shared" si="46"/>
        <v>32894.4</v>
      </c>
      <c r="AK87" s="43">
        <f t="shared" si="47"/>
        <v>9911.5905273</v>
      </c>
      <c r="AL87" s="28">
        <f t="shared" si="48"/>
        <v>0.873470560338538</v>
      </c>
      <c r="AM87" s="28">
        <f t="shared" si="49"/>
        <v>0.963006893163102</v>
      </c>
      <c r="AN87" s="43">
        <f t="shared" si="50"/>
        <v>12719.168</v>
      </c>
      <c r="AP87" s="28">
        <f t="shared" si="51"/>
        <v>0.28926282</v>
      </c>
      <c r="AQ87" s="43">
        <f t="shared" si="52"/>
        <v>3679.18240373376</v>
      </c>
      <c r="AR87" s="43">
        <f t="shared" si="53"/>
        <v>38157.504</v>
      </c>
      <c r="AS87" s="43">
        <f t="shared" si="54"/>
        <v>11037.5472112013</v>
      </c>
      <c r="AT87" s="107">
        <f t="shared" si="55"/>
        <v>0.752991862360809</v>
      </c>
      <c r="AU87" s="107">
        <f t="shared" si="56"/>
        <v>0.864769121015716</v>
      </c>
    </row>
    <row r="88" spans="1:47">
      <c r="A88" s="25">
        <v>73</v>
      </c>
      <c r="B88" s="26">
        <v>367</v>
      </c>
      <c r="C88" s="27" t="s">
        <v>128</v>
      </c>
      <c r="D88" s="26" t="s">
        <v>53</v>
      </c>
      <c r="E88" s="25">
        <v>4800</v>
      </c>
      <c r="F88" s="28">
        <v>0.2736</v>
      </c>
      <c r="G88" s="25">
        <f t="shared" si="31"/>
        <v>1313.28</v>
      </c>
      <c r="H88" s="29">
        <f>VLOOKUP(B88,[3]Sheet2!$A:$C,3,0)</f>
        <v>2</v>
      </c>
      <c r="J88" s="30">
        <f>VLOOKUP(B88,[1]查询时间段分门店销售汇总!$D:$L,9,0)</f>
        <v>21103.25</v>
      </c>
      <c r="K88" s="30">
        <f>VLOOKUP(B88,[1]查询时间段分门店销售汇总!$D:$M,10,0)</f>
        <v>5801.19</v>
      </c>
      <c r="L88" s="31">
        <f>E88*1.55</f>
        <v>7440</v>
      </c>
      <c r="M88" s="32">
        <v>0.255816</v>
      </c>
      <c r="N88" s="37">
        <f t="shared" si="32"/>
        <v>1903.27104</v>
      </c>
      <c r="O88" s="37">
        <f t="shared" si="33"/>
        <v>29760</v>
      </c>
      <c r="P88" s="37">
        <f t="shared" si="34"/>
        <v>7613.08416</v>
      </c>
      <c r="Q88" s="81">
        <f t="shared" si="35"/>
        <v>0.709114583333333</v>
      </c>
      <c r="R88" s="81">
        <f t="shared" si="36"/>
        <v>0.76200260999085</v>
      </c>
      <c r="S88" s="82">
        <f t="shared" si="37"/>
        <v>8556</v>
      </c>
      <c r="T88" s="83"/>
      <c r="U88" s="82">
        <f t="shared" si="58"/>
        <v>-86.5675</v>
      </c>
      <c r="V88" s="84">
        <f t="shared" si="57"/>
        <v>-43.28375</v>
      </c>
      <c r="W88" s="32">
        <f t="shared" si="38"/>
        <v>0.24046704</v>
      </c>
      <c r="X88" s="37">
        <f t="shared" si="39"/>
        <v>2057.43599424</v>
      </c>
      <c r="Y88" s="38">
        <f t="shared" si="40"/>
        <v>34224</v>
      </c>
      <c r="Z88" s="38">
        <f t="shared" si="41"/>
        <v>8229.74397696</v>
      </c>
      <c r="AA88" s="81">
        <f t="shared" si="42"/>
        <v>0.616621376811594</v>
      </c>
      <c r="AB88" s="81">
        <f t="shared" si="43"/>
        <v>0.704905282137697</v>
      </c>
      <c r="AC88" s="71"/>
      <c r="AD88" s="71"/>
      <c r="AE88" s="98">
        <f>VLOOKUP(B88,[2]查询时间段分门店销售汇总!$D:$L,9,0)</f>
        <v>17822.39</v>
      </c>
      <c r="AF88" s="98">
        <f>VLOOKUP(B88,[2]查询时间段分门店销售汇总!$D:$M,10,0)</f>
        <v>5180.13</v>
      </c>
      <c r="AG88" s="41">
        <f t="shared" si="44"/>
        <v>6621.6</v>
      </c>
      <c r="AH88" s="28">
        <v>0.25965324</v>
      </c>
      <c r="AI88" s="43">
        <f t="shared" si="45"/>
        <v>1719.319893984</v>
      </c>
      <c r="AJ88" s="43">
        <f t="shared" si="46"/>
        <v>19864.8</v>
      </c>
      <c r="AK88" s="43">
        <f t="shared" si="47"/>
        <v>5157.959681952</v>
      </c>
      <c r="AL88" s="28">
        <f t="shared" si="48"/>
        <v>0.897184466996899</v>
      </c>
      <c r="AM88" s="28">
        <f t="shared" si="49"/>
        <v>1.00429827284722</v>
      </c>
      <c r="AN88" s="43">
        <f t="shared" si="50"/>
        <v>7681.056</v>
      </c>
      <c r="AP88" s="28">
        <f t="shared" si="51"/>
        <v>0.2492671104</v>
      </c>
      <c r="AQ88" s="43">
        <f t="shared" si="52"/>
        <v>1914.63463394058</v>
      </c>
      <c r="AR88" s="43">
        <f t="shared" si="53"/>
        <v>23043.168</v>
      </c>
      <c r="AS88" s="43">
        <f t="shared" si="54"/>
        <v>5743.90390182175</v>
      </c>
      <c r="AT88" s="107">
        <f t="shared" si="55"/>
        <v>0.773434885342154</v>
      </c>
      <c r="AU88" s="107">
        <f t="shared" si="56"/>
        <v>0.901848305358497</v>
      </c>
    </row>
    <row r="89" spans="1:47">
      <c r="A89" s="25">
        <v>54</v>
      </c>
      <c r="B89" s="26">
        <v>311</v>
      </c>
      <c r="C89" s="27" t="s">
        <v>129</v>
      </c>
      <c r="D89" s="26" t="s">
        <v>65</v>
      </c>
      <c r="E89" s="25">
        <v>5800</v>
      </c>
      <c r="F89" s="28">
        <v>0.23</v>
      </c>
      <c r="G89" s="25">
        <f t="shared" si="31"/>
        <v>1334</v>
      </c>
      <c r="H89" s="29">
        <f>VLOOKUP(B89,[3]Sheet2!$A:$C,3,0)</f>
        <v>2</v>
      </c>
      <c r="J89" s="30">
        <f>VLOOKUP(B89,[1]查询时间段分门店销售汇总!$D:$L,9,0)</f>
        <v>24663.95</v>
      </c>
      <c r="K89" s="30">
        <f>VLOOKUP(B89,[1]查询时间段分门店销售汇总!$D:$M,10,0)</f>
        <v>4083.74</v>
      </c>
      <c r="L89" s="31">
        <f>E89*1.5</f>
        <v>8700</v>
      </c>
      <c r="M89" s="32">
        <v>0.21505</v>
      </c>
      <c r="N89" s="37">
        <f t="shared" si="32"/>
        <v>1870.935</v>
      </c>
      <c r="O89" s="37">
        <f t="shared" si="33"/>
        <v>34800</v>
      </c>
      <c r="P89" s="37">
        <f t="shared" si="34"/>
        <v>7483.74</v>
      </c>
      <c r="Q89" s="81">
        <f t="shared" si="35"/>
        <v>0.708734195402299</v>
      </c>
      <c r="R89" s="81">
        <f t="shared" si="36"/>
        <v>0.545681704602244</v>
      </c>
      <c r="S89" s="82">
        <f t="shared" si="37"/>
        <v>10005</v>
      </c>
      <c r="T89" s="83"/>
      <c r="U89" s="82">
        <f t="shared" si="58"/>
        <v>-101.3605</v>
      </c>
      <c r="V89" s="84">
        <f t="shared" si="57"/>
        <v>-50.68025</v>
      </c>
      <c r="W89" s="32">
        <f t="shared" si="38"/>
        <v>0.202147</v>
      </c>
      <c r="X89" s="37">
        <f t="shared" si="39"/>
        <v>2022.480735</v>
      </c>
      <c r="Y89" s="38">
        <f t="shared" si="40"/>
        <v>40020</v>
      </c>
      <c r="Z89" s="38">
        <f t="shared" si="41"/>
        <v>8089.92294</v>
      </c>
      <c r="AA89" s="81">
        <f t="shared" si="42"/>
        <v>0.616290604697651</v>
      </c>
      <c r="AB89" s="81">
        <f t="shared" si="43"/>
        <v>0.504793436264796</v>
      </c>
      <c r="AC89" s="71"/>
      <c r="AD89" s="71"/>
      <c r="AE89" s="98">
        <f>VLOOKUP(B89,[2]查询时间段分门店销售汇总!$D:$L,9,0)</f>
        <v>10172.72</v>
      </c>
      <c r="AF89" s="98">
        <f>VLOOKUP(B89,[2]查询时间段分门店销售汇总!$D:$M,10,0)</f>
        <v>2306.73</v>
      </c>
      <c r="AG89" s="41">
        <f t="shared" si="44"/>
        <v>7743</v>
      </c>
      <c r="AH89" s="28">
        <v>0.21827575</v>
      </c>
      <c r="AI89" s="43">
        <f t="shared" si="45"/>
        <v>1690.10913225</v>
      </c>
      <c r="AJ89" s="43">
        <f t="shared" si="46"/>
        <v>23229</v>
      </c>
      <c r="AK89" s="43">
        <f t="shared" si="47"/>
        <v>5070.32739675</v>
      </c>
      <c r="AL89" s="28">
        <f t="shared" si="48"/>
        <v>0.437931895475483</v>
      </c>
      <c r="AM89" s="28">
        <f t="shared" si="49"/>
        <v>0.454946953026855</v>
      </c>
      <c r="AN89" s="43">
        <f t="shared" si="50"/>
        <v>8981.88</v>
      </c>
      <c r="AP89" s="28">
        <f t="shared" si="51"/>
        <v>0.20954472</v>
      </c>
      <c r="AQ89" s="43">
        <f t="shared" si="52"/>
        <v>1882.1055296736</v>
      </c>
      <c r="AR89" s="43">
        <f t="shared" si="53"/>
        <v>26945.64</v>
      </c>
      <c r="AS89" s="43">
        <f t="shared" si="54"/>
        <v>5646.3165890208</v>
      </c>
      <c r="AT89" s="107">
        <f t="shared" si="55"/>
        <v>0.377527496099554</v>
      </c>
      <c r="AU89" s="107">
        <f t="shared" si="56"/>
        <v>0.408537134542794</v>
      </c>
    </row>
    <row r="90" spans="1:47">
      <c r="A90" s="25">
        <v>103</v>
      </c>
      <c r="B90" s="26">
        <v>570</v>
      </c>
      <c r="C90" s="27" t="s">
        <v>130</v>
      </c>
      <c r="D90" s="26" t="s">
        <v>39</v>
      </c>
      <c r="E90" s="25">
        <v>3800</v>
      </c>
      <c r="F90" s="28">
        <v>0.3008</v>
      </c>
      <c r="G90" s="25">
        <f t="shared" si="31"/>
        <v>1143.04</v>
      </c>
      <c r="H90" s="29">
        <f>VLOOKUP(B90,[3]Sheet2!$A:$C,3,0)</f>
        <v>2</v>
      </c>
      <c r="J90" s="30">
        <f>VLOOKUP(B90,[1]查询时间段分门店销售汇总!$D:$L,9,0)</f>
        <v>17201.96</v>
      </c>
      <c r="K90" s="30">
        <f>VLOOKUP(B90,[1]查询时间段分门店销售汇总!$D:$M,10,0)</f>
        <v>5213.08</v>
      </c>
      <c r="L90" s="31">
        <f>E90*1.6</f>
        <v>6080</v>
      </c>
      <c r="M90" s="32">
        <v>0.281248</v>
      </c>
      <c r="N90" s="37">
        <f t="shared" si="32"/>
        <v>1709.98784</v>
      </c>
      <c r="O90" s="37">
        <f t="shared" si="33"/>
        <v>24320</v>
      </c>
      <c r="P90" s="37">
        <f t="shared" si="34"/>
        <v>6839.95136</v>
      </c>
      <c r="Q90" s="81">
        <f t="shared" si="35"/>
        <v>0.707317434210526</v>
      </c>
      <c r="R90" s="81">
        <f t="shared" si="36"/>
        <v>0.762151618575253</v>
      </c>
      <c r="S90" s="82">
        <f t="shared" si="37"/>
        <v>6992</v>
      </c>
      <c r="T90" s="83"/>
      <c r="U90" s="82">
        <f t="shared" si="58"/>
        <v>-71.1804</v>
      </c>
      <c r="V90" s="84">
        <f t="shared" si="57"/>
        <v>-35.5902</v>
      </c>
      <c r="W90" s="32">
        <f t="shared" si="38"/>
        <v>0.26437312</v>
      </c>
      <c r="X90" s="37">
        <f t="shared" si="39"/>
        <v>1848.49685504</v>
      </c>
      <c r="Y90" s="38">
        <f t="shared" si="40"/>
        <v>27968</v>
      </c>
      <c r="Z90" s="38">
        <f t="shared" si="41"/>
        <v>7393.98742016</v>
      </c>
      <c r="AA90" s="81">
        <f t="shared" si="42"/>
        <v>0.615058638443936</v>
      </c>
      <c r="AB90" s="81">
        <f t="shared" si="43"/>
        <v>0.705043125416515</v>
      </c>
      <c r="AC90" s="71"/>
      <c r="AD90" s="71"/>
      <c r="AE90" s="98">
        <f>VLOOKUP(B90,[2]查询时间段分门店销售汇总!$D:$L,9,0)</f>
        <v>15767.89</v>
      </c>
      <c r="AF90" s="98">
        <f>VLOOKUP(B90,[2]查询时间段分门店销售汇总!$D:$M,10,0)</f>
        <v>4789.76</v>
      </c>
      <c r="AG90" s="41">
        <f t="shared" si="44"/>
        <v>5411.2</v>
      </c>
      <c r="AH90" s="28">
        <v>0.28546672</v>
      </c>
      <c r="AI90" s="43">
        <f t="shared" si="45"/>
        <v>1544.717515264</v>
      </c>
      <c r="AJ90" s="43">
        <f t="shared" si="46"/>
        <v>16233.6</v>
      </c>
      <c r="AK90" s="43">
        <f t="shared" si="47"/>
        <v>4634.152545792</v>
      </c>
      <c r="AL90" s="28">
        <f t="shared" si="48"/>
        <v>0.971311970234575</v>
      </c>
      <c r="AM90" s="28">
        <f t="shared" si="49"/>
        <v>1.03357840568915</v>
      </c>
      <c r="AN90" s="43">
        <f t="shared" si="50"/>
        <v>6276.992</v>
      </c>
      <c r="AP90" s="28">
        <f t="shared" si="51"/>
        <v>0.2740480512</v>
      </c>
      <c r="AQ90" s="43">
        <f t="shared" si="52"/>
        <v>1720.19742499799</v>
      </c>
      <c r="AR90" s="43">
        <f t="shared" si="53"/>
        <v>18830.976</v>
      </c>
      <c r="AS90" s="43">
        <f t="shared" si="54"/>
        <v>5160.59227499397</v>
      </c>
      <c r="AT90" s="107">
        <f t="shared" si="55"/>
        <v>0.837337905374634</v>
      </c>
      <c r="AU90" s="107">
        <f t="shared" si="56"/>
        <v>0.928141528097295</v>
      </c>
    </row>
    <row r="91" spans="1:47">
      <c r="A91" s="25">
        <v>9</v>
      </c>
      <c r="B91" s="26">
        <v>341</v>
      </c>
      <c r="C91" s="27" t="s">
        <v>131</v>
      </c>
      <c r="D91" s="26" t="s">
        <v>61</v>
      </c>
      <c r="E91" s="25">
        <v>11000</v>
      </c>
      <c r="F91" s="28">
        <v>0.3135</v>
      </c>
      <c r="G91" s="25">
        <f t="shared" si="31"/>
        <v>3448.5</v>
      </c>
      <c r="H91" s="29">
        <f>VLOOKUP(B91,[3]Sheet2!$A:$C,3,0)</f>
        <v>4</v>
      </c>
      <c r="J91" s="30">
        <f>VLOOKUP(B91,[1]查询时间段分门店销售汇总!$D:$L,9,0)</f>
        <v>41640.21</v>
      </c>
      <c r="K91" s="30">
        <f>VLOOKUP(B91,[1]查询时间段分门店销售汇总!$D:$M,10,0)</f>
        <v>12670.24</v>
      </c>
      <c r="L91" s="31">
        <f>E91*1.35</f>
        <v>14850</v>
      </c>
      <c r="M91" s="32">
        <v>0.2931225</v>
      </c>
      <c r="N91" s="37">
        <f t="shared" si="32"/>
        <v>4352.869125</v>
      </c>
      <c r="O91" s="37">
        <f t="shared" si="33"/>
        <v>59400</v>
      </c>
      <c r="P91" s="37">
        <f t="shared" si="34"/>
        <v>17411.4765</v>
      </c>
      <c r="Q91" s="81">
        <f t="shared" si="35"/>
        <v>0.701013636363636</v>
      </c>
      <c r="R91" s="81">
        <f t="shared" si="36"/>
        <v>0.727694747771678</v>
      </c>
      <c r="S91" s="82">
        <f t="shared" si="37"/>
        <v>17077.5</v>
      </c>
      <c r="T91" s="83"/>
      <c r="U91" s="82">
        <f t="shared" si="58"/>
        <v>-177.5979</v>
      </c>
      <c r="V91" s="84">
        <f t="shared" si="57"/>
        <v>-88.79895</v>
      </c>
      <c r="W91" s="32">
        <f t="shared" si="38"/>
        <v>0.27553515</v>
      </c>
      <c r="X91" s="37">
        <f t="shared" si="39"/>
        <v>4705.451524125</v>
      </c>
      <c r="Y91" s="38">
        <f t="shared" si="40"/>
        <v>68310</v>
      </c>
      <c r="Z91" s="38">
        <f t="shared" si="41"/>
        <v>18821.8060965</v>
      </c>
      <c r="AA91" s="81">
        <f t="shared" si="42"/>
        <v>0.609577075098814</v>
      </c>
      <c r="AB91" s="81">
        <f t="shared" si="43"/>
        <v>0.6731681292985</v>
      </c>
      <c r="AC91" s="71"/>
      <c r="AD91" s="71"/>
      <c r="AE91" s="98">
        <f>VLOOKUP(B91,[2]查询时间段分门店销售汇总!$D:$L,9,0)</f>
        <v>30585.93</v>
      </c>
      <c r="AF91" s="98">
        <f>VLOOKUP(B91,[2]查询时间段分门店销售汇总!$D:$M,10,0)</f>
        <v>9757.19</v>
      </c>
      <c r="AG91" s="41">
        <f t="shared" si="44"/>
        <v>13216.5</v>
      </c>
      <c r="AH91" s="28">
        <v>0.2975193375</v>
      </c>
      <c r="AI91" s="43">
        <f t="shared" si="45"/>
        <v>3932.16432406875</v>
      </c>
      <c r="AJ91" s="43">
        <f t="shared" si="46"/>
        <v>39649.5</v>
      </c>
      <c r="AK91" s="43">
        <f t="shared" si="47"/>
        <v>11796.4929722063</v>
      </c>
      <c r="AL91" s="28">
        <f t="shared" si="48"/>
        <v>0.771407710059395</v>
      </c>
      <c r="AM91" s="28">
        <f t="shared" si="49"/>
        <v>0.827126335173423</v>
      </c>
      <c r="AN91" s="43">
        <f t="shared" si="50"/>
        <v>15331.14</v>
      </c>
      <c r="AP91" s="28">
        <f t="shared" si="51"/>
        <v>0.285618564</v>
      </c>
      <c r="AQ91" s="43">
        <f t="shared" si="52"/>
        <v>4378.85819128296</v>
      </c>
      <c r="AR91" s="43">
        <f t="shared" si="53"/>
        <v>45993.42</v>
      </c>
      <c r="AS91" s="43">
        <f t="shared" si="54"/>
        <v>13136.5745738489</v>
      </c>
      <c r="AT91" s="107">
        <f t="shared" si="55"/>
        <v>0.665006646602927</v>
      </c>
      <c r="AU91" s="107">
        <f t="shared" si="56"/>
        <v>0.742749941786479</v>
      </c>
    </row>
    <row r="92" spans="1:48">
      <c r="A92" s="25">
        <v>41</v>
      </c>
      <c r="B92" s="26">
        <v>377</v>
      </c>
      <c r="C92" s="27" t="s">
        <v>132</v>
      </c>
      <c r="D92" s="26" t="s">
        <v>51</v>
      </c>
      <c r="E92" s="25">
        <v>6600</v>
      </c>
      <c r="F92" s="28">
        <v>0.3376</v>
      </c>
      <c r="G92" s="25">
        <f t="shared" si="31"/>
        <v>2228.16</v>
      </c>
      <c r="H92" s="29">
        <f>VLOOKUP(B92,[3]Sheet2!$A:$C,3,0)</f>
        <v>3</v>
      </c>
      <c r="I92" s="25">
        <f>VLOOKUP(B92,[3]实习生!$A:$C,3,0)</f>
        <v>1</v>
      </c>
      <c r="J92" s="30">
        <f>VLOOKUP(B92,[1]查询时间段分门店销售汇总!$D:$L,9,0)</f>
        <v>26767.67</v>
      </c>
      <c r="K92" s="30">
        <f>VLOOKUP(B92,[1]查询时间段分门店销售汇总!$D:$M,10,0)</f>
        <v>9062.07</v>
      </c>
      <c r="L92" s="31">
        <f>E92*1.45</f>
        <v>9570</v>
      </c>
      <c r="M92" s="32">
        <v>0.315656</v>
      </c>
      <c r="N92" s="37">
        <f t="shared" si="32"/>
        <v>3020.82792</v>
      </c>
      <c r="O92" s="37">
        <f t="shared" si="33"/>
        <v>38280</v>
      </c>
      <c r="P92" s="37">
        <f t="shared" si="34"/>
        <v>12083.31168</v>
      </c>
      <c r="Q92" s="81">
        <f t="shared" si="35"/>
        <v>0.699259926854754</v>
      </c>
      <c r="R92" s="81">
        <f t="shared" si="36"/>
        <v>0.749965757731741</v>
      </c>
      <c r="S92" s="82">
        <f t="shared" si="37"/>
        <v>11005.5</v>
      </c>
      <c r="T92" s="83"/>
      <c r="U92" s="82">
        <f t="shared" si="58"/>
        <v>-115.1233</v>
      </c>
      <c r="V92" s="84">
        <f t="shared" si="57"/>
        <v>-57.56165</v>
      </c>
      <c r="W92" s="32">
        <f t="shared" si="38"/>
        <v>0.29671664</v>
      </c>
      <c r="X92" s="37">
        <f t="shared" si="39"/>
        <v>3265.51498152</v>
      </c>
      <c r="Y92" s="38">
        <f t="shared" si="40"/>
        <v>44022</v>
      </c>
      <c r="Z92" s="38">
        <f t="shared" si="41"/>
        <v>13062.05992608</v>
      </c>
      <c r="AA92" s="81">
        <f t="shared" si="42"/>
        <v>0.608052110308482</v>
      </c>
      <c r="AB92" s="81">
        <f t="shared" si="43"/>
        <v>0.693770358678762</v>
      </c>
      <c r="AC92" s="71"/>
      <c r="AD92" s="71"/>
      <c r="AE92" s="98">
        <f>VLOOKUP(B92,[2]查询时间段分门店销售汇总!$D:$L,9,0)</f>
        <v>41067.67</v>
      </c>
      <c r="AF92" s="98">
        <f>VLOOKUP(B92,[2]查询时间段分门店销售汇总!$D:$M,10,0)</f>
        <v>10696.46</v>
      </c>
      <c r="AG92" s="41">
        <f t="shared" si="44"/>
        <v>8517.3</v>
      </c>
      <c r="AH92" s="28">
        <v>0.32039084</v>
      </c>
      <c r="AI92" s="43">
        <f t="shared" si="45"/>
        <v>2728.864901532</v>
      </c>
      <c r="AJ92" s="43">
        <f t="shared" si="46"/>
        <v>25551.9</v>
      </c>
      <c r="AK92" s="43">
        <f t="shared" si="47"/>
        <v>8186.594704596</v>
      </c>
      <c r="AL92" s="103">
        <f t="shared" si="48"/>
        <v>1.60722568576114</v>
      </c>
      <c r="AM92" s="103">
        <f t="shared" si="49"/>
        <v>1.30658233196703</v>
      </c>
      <c r="AN92" s="43">
        <f t="shared" si="50"/>
        <v>9880.068</v>
      </c>
      <c r="AP92" s="28">
        <f t="shared" si="51"/>
        <v>0.3075752064</v>
      </c>
      <c r="AQ92" s="43">
        <f t="shared" si="52"/>
        <v>3038.86395434604</v>
      </c>
      <c r="AR92" s="43">
        <f t="shared" si="53"/>
        <v>29640.204</v>
      </c>
      <c r="AS92" s="43">
        <f t="shared" si="54"/>
        <v>9116.59186303811</v>
      </c>
      <c r="AT92" s="109">
        <f t="shared" si="55"/>
        <v>1.38553938427684</v>
      </c>
      <c r="AU92" s="109">
        <f t="shared" si="56"/>
        <v>1.17329591591867</v>
      </c>
      <c r="AV92" s="44">
        <f>(AF92-AK92)*0.1</f>
        <v>250.9865295404</v>
      </c>
    </row>
    <row r="93" spans="1:47">
      <c r="A93" s="25">
        <v>74</v>
      </c>
      <c r="B93" s="26">
        <v>743</v>
      </c>
      <c r="C93" s="27" t="s">
        <v>133</v>
      </c>
      <c r="D93" s="26" t="s">
        <v>51</v>
      </c>
      <c r="E93" s="25">
        <v>4800</v>
      </c>
      <c r="F93" s="28">
        <v>0.32</v>
      </c>
      <c r="G93" s="25">
        <f t="shared" si="31"/>
        <v>1536</v>
      </c>
      <c r="H93" s="29">
        <f>VLOOKUP(B93,[3]Sheet2!$A:$C,3,0)</f>
        <v>1</v>
      </c>
      <c r="J93" s="30">
        <f>VLOOKUP(B93,[1]查询时间段分门店销售汇总!$D:$L,9,0)</f>
        <v>20728.55</v>
      </c>
      <c r="K93" s="30">
        <f>VLOOKUP(B93,[1]查询时间段分门店销售汇总!$D:$M,10,0)</f>
        <v>5777.06</v>
      </c>
      <c r="L93" s="31">
        <f>E93*1.55</f>
        <v>7440</v>
      </c>
      <c r="M93" s="32">
        <v>0.2992</v>
      </c>
      <c r="N93" s="37">
        <f t="shared" si="32"/>
        <v>2226.048</v>
      </c>
      <c r="O93" s="37">
        <f t="shared" si="33"/>
        <v>29760</v>
      </c>
      <c r="P93" s="37">
        <f t="shared" si="34"/>
        <v>8904.192</v>
      </c>
      <c r="Q93" s="81">
        <f t="shared" si="35"/>
        <v>0.696523857526882</v>
      </c>
      <c r="R93" s="81">
        <f t="shared" si="36"/>
        <v>0.64880227200851</v>
      </c>
      <c r="S93" s="82">
        <f t="shared" si="37"/>
        <v>8556</v>
      </c>
      <c r="T93" s="83"/>
      <c r="U93" s="82">
        <f t="shared" si="58"/>
        <v>-90.3145</v>
      </c>
      <c r="V93" s="84">
        <f t="shared" si="57"/>
        <v>-45.15725</v>
      </c>
      <c r="W93" s="32">
        <f t="shared" si="38"/>
        <v>0.281248</v>
      </c>
      <c r="X93" s="37">
        <f t="shared" si="39"/>
        <v>2406.357888</v>
      </c>
      <c r="Y93" s="38">
        <f t="shared" si="40"/>
        <v>34224</v>
      </c>
      <c r="Z93" s="38">
        <f t="shared" si="41"/>
        <v>9625.431552</v>
      </c>
      <c r="AA93" s="81">
        <f t="shared" si="42"/>
        <v>0.605672919588593</v>
      </c>
      <c r="AB93" s="81">
        <f t="shared" si="43"/>
        <v>0.600187115641545</v>
      </c>
      <c r="AC93" s="71"/>
      <c r="AD93" s="71"/>
      <c r="AE93" s="98">
        <f>VLOOKUP(B93,[2]查询时间段分门店销售汇总!$D:$L,9,0)</f>
        <v>16308.68</v>
      </c>
      <c r="AF93" s="98">
        <f>VLOOKUP(B93,[2]查询时间段分门店销售汇总!$D:$M,10,0)</f>
        <v>4973.47</v>
      </c>
      <c r="AG93" s="41">
        <f t="shared" si="44"/>
        <v>6621.6</v>
      </c>
      <c r="AH93" s="28">
        <v>0.303688</v>
      </c>
      <c r="AI93" s="43">
        <f t="shared" si="45"/>
        <v>2010.9004608</v>
      </c>
      <c r="AJ93" s="43">
        <f t="shared" si="46"/>
        <v>19864.8</v>
      </c>
      <c r="AK93" s="43">
        <f t="shared" si="47"/>
        <v>6032.7013824</v>
      </c>
      <c r="AL93" s="28">
        <f t="shared" si="48"/>
        <v>0.820983850831622</v>
      </c>
      <c r="AM93" s="28">
        <f t="shared" si="49"/>
        <v>0.824418396459961</v>
      </c>
      <c r="AN93" s="43">
        <f t="shared" si="50"/>
        <v>7681.056</v>
      </c>
      <c r="AP93" s="28">
        <f t="shared" si="51"/>
        <v>0.29154048</v>
      </c>
      <c r="AQ93" s="43">
        <f t="shared" si="52"/>
        <v>2239.33875314688</v>
      </c>
      <c r="AR93" s="43">
        <f t="shared" si="53"/>
        <v>23043.168</v>
      </c>
      <c r="AS93" s="43">
        <f t="shared" si="54"/>
        <v>6718.01625944064</v>
      </c>
      <c r="AT93" s="107">
        <f t="shared" si="55"/>
        <v>0.707744698992777</v>
      </c>
      <c r="AU93" s="107">
        <f t="shared" si="56"/>
        <v>0.740318243947523</v>
      </c>
    </row>
    <row r="94" spans="1:47">
      <c r="A94" s="25">
        <v>104</v>
      </c>
      <c r="B94" s="26">
        <v>727</v>
      </c>
      <c r="C94" s="27" t="s">
        <v>134</v>
      </c>
      <c r="D94" s="26" t="s">
        <v>37</v>
      </c>
      <c r="E94" s="25">
        <v>3800</v>
      </c>
      <c r="F94" s="28">
        <v>0.3133</v>
      </c>
      <c r="G94" s="25">
        <f t="shared" si="31"/>
        <v>1190.54</v>
      </c>
      <c r="H94" s="29">
        <f>VLOOKUP(B94,[3]Sheet2!$A:$C,3,0)</f>
        <v>2</v>
      </c>
      <c r="J94" s="30">
        <f>VLOOKUP(B94,[1]查询时间段分门店销售汇总!$D:$L,9,0)</f>
        <v>16874.52</v>
      </c>
      <c r="K94" s="30">
        <f>VLOOKUP(B94,[1]查询时间段分门店销售汇总!$D:$M,10,0)</f>
        <v>5313.8</v>
      </c>
      <c r="L94" s="31">
        <f>E94*1.6</f>
        <v>6080</v>
      </c>
      <c r="M94" s="32">
        <v>0.2929355</v>
      </c>
      <c r="N94" s="37">
        <f t="shared" si="32"/>
        <v>1781.04784</v>
      </c>
      <c r="O94" s="37">
        <f t="shared" si="33"/>
        <v>24320</v>
      </c>
      <c r="P94" s="37">
        <f t="shared" si="34"/>
        <v>7124.19136</v>
      </c>
      <c r="Q94" s="81">
        <f t="shared" si="35"/>
        <v>0.693853618421053</v>
      </c>
      <c r="R94" s="81">
        <f t="shared" si="36"/>
        <v>0.745881143765347</v>
      </c>
      <c r="S94" s="82">
        <f t="shared" si="37"/>
        <v>6992</v>
      </c>
      <c r="T94" s="83"/>
      <c r="U94" s="82">
        <f t="shared" si="58"/>
        <v>-74.4548</v>
      </c>
      <c r="V94" s="84">
        <f t="shared" si="57"/>
        <v>-37.2274</v>
      </c>
      <c r="W94" s="32">
        <f t="shared" si="38"/>
        <v>0.27535937</v>
      </c>
      <c r="X94" s="37">
        <f t="shared" si="39"/>
        <v>1925.31271504</v>
      </c>
      <c r="Y94" s="38">
        <f t="shared" si="40"/>
        <v>27968</v>
      </c>
      <c r="Z94" s="38">
        <f t="shared" si="41"/>
        <v>7701.25086016</v>
      </c>
      <c r="AA94" s="81">
        <f t="shared" si="42"/>
        <v>0.603350972540046</v>
      </c>
      <c r="AB94" s="81">
        <f t="shared" si="43"/>
        <v>0.689991807368498</v>
      </c>
      <c r="AC94" s="71"/>
      <c r="AD94" s="71"/>
      <c r="AE94" s="98">
        <f>VLOOKUP(B94,[2]查询时间段分门店销售汇总!$D:$L,9,0)</f>
        <v>12841.71</v>
      </c>
      <c r="AF94" s="98">
        <f>VLOOKUP(B94,[2]查询时间段分门店销售汇总!$D:$M,10,0)</f>
        <v>4359.07</v>
      </c>
      <c r="AG94" s="41">
        <f t="shared" si="44"/>
        <v>5411.2</v>
      </c>
      <c r="AH94" s="28">
        <v>0.2973295325</v>
      </c>
      <c r="AI94" s="43">
        <f t="shared" si="45"/>
        <v>1608.909566264</v>
      </c>
      <c r="AJ94" s="43">
        <f t="shared" si="46"/>
        <v>16233.6</v>
      </c>
      <c r="AK94" s="43">
        <f t="shared" si="47"/>
        <v>4826.728698792</v>
      </c>
      <c r="AL94" s="28">
        <f t="shared" si="48"/>
        <v>0.791057436428149</v>
      </c>
      <c r="AM94" s="28">
        <f t="shared" si="49"/>
        <v>0.903110630827657</v>
      </c>
      <c r="AN94" s="43">
        <f t="shared" si="50"/>
        <v>6276.992</v>
      </c>
      <c r="AP94" s="28">
        <f t="shared" si="51"/>
        <v>0.2854363512</v>
      </c>
      <c r="AQ94" s="43">
        <f t="shared" si="52"/>
        <v>1791.68169299159</v>
      </c>
      <c r="AR94" s="43">
        <f t="shared" si="53"/>
        <v>18830.976</v>
      </c>
      <c r="AS94" s="43">
        <f t="shared" si="54"/>
        <v>5375.04507897477</v>
      </c>
      <c r="AT94" s="107">
        <f t="shared" si="55"/>
        <v>0.681946065886335</v>
      </c>
      <c r="AU94" s="107">
        <f t="shared" si="56"/>
        <v>0.810982965901273</v>
      </c>
    </row>
    <row r="95" spans="1:47">
      <c r="A95" s="25">
        <v>13</v>
      </c>
      <c r="B95" s="26">
        <v>117491</v>
      </c>
      <c r="C95" s="27" t="s">
        <v>135</v>
      </c>
      <c r="D95" s="26" t="s">
        <v>37</v>
      </c>
      <c r="E95" s="25">
        <v>10000</v>
      </c>
      <c r="F95" s="28">
        <v>0.26</v>
      </c>
      <c r="G95" s="25">
        <f t="shared" si="31"/>
        <v>2600</v>
      </c>
      <c r="H95" s="29">
        <f>VLOOKUP(B95,[3]Sheet2!$A:$C,3,0)</f>
        <v>2</v>
      </c>
      <c r="J95" s="30">
        <f>VLOOKUP(B95,[1]查询时间段分门店销售汇总!$D:$L,9,0)</f>
        <v>37339.51</v>
      </c>
      <c r="K95" s="30">
        <f>VLOOKUP(B95,[1]查询时间段分门店销售汇总!$D:$M,10,0)</f>
        <v>6531.71</v>
      </c>
      <c r="L95" s="31">
        <f>E95*1.35</f>
        <v>13500</v>
      </c>
      <c r="M95" s="32">
        <v>0.2431</v>
      </c>
      <c r="N95" s="37">
        <f t="shared" si="32"/>
        <v>3281.85</v>
      </c>
      <c r="O95" s="37">
        <f t="shared" si="33"/>
        <v>54000</v>
      </c>
      <c r="P95" s="37">
        <f t="shared" si="34"/>
        <v>13127.4</v>
      </c>
      <c r="Q95" s="81">
        <f t="shared" si="35"/>
        <v>0.691472407407407</v>
      </c>
      <c r="R95" s="81">
        <f t="shared" si="36"/>
        <v>0.497563112268995</v>
      </c>
      <c r="S95" s="82">
        <f t="shared" si="37"/>
        <v>15525</v>
      </c>
      <c r="T95" s="83"/>
      <c r="U95" s="82">
        <f t="shared" si="58"/>
        <v>-166.6049</v>
      </c>
      <c r="V95" s="84">
        <f t="shared" si="57"/>
        <v>-83.30245</v>
      </c>
      <c r="W95" s="32">
        <f t="shared" si="38"/>
        <v>0.228514</v>
      </c>
      <c r="X95" s="37">
        <f t="shared" si="39"/>
        <v>3547.67985</v>
      </c>
      <c r="Y95" s="38">
        <f t="shared" si="40"/>
        <v>62100</v>
      </c>
      <c r="Z95" s="38">
        <f t="shared" si="41"/>
        <v>14190.7194</v>
      </c>
      <c r="AA95" s="81">
        <f t="shared" si="42"/>
        <v>0.601280354267311</v>
      </c>
      <c r="AB95" s="81">
        <f t="shared" si="43"/>
        <v>0.460280399878811</v>
      </c>
      <c r="AC95" s="71"/>
      <c r="AD95" s="71"/>
      <c r="AE95" s="98">
        <f>VLOOKUP(B95,[2]查询时间段分门店销售汇总!$D:$L,9,0)</f>
        <v>30922.73</v>
      </c>
      <c r="AF95" s="98">
        <f>VLOOKUP(B95,[2]查询时间段分门店销售汇总!$D:$M,10,0)</f>
        <v>5907.1</v>
      </c>
      <c r="AG95" s="41">
        <f t="shared" si="44"/>
        <v>12015</v>
      </c>
      <c r="AH95" s="28">
        <v>0.2467465</v>
      </c>
      <c r="AI95" s="43">
        <f t="shared" si="45"/>
        <v>2964.6591975</v>
      </c>
      <c r="AJ95" s="43">
        <f t="shared" si="46"/>
        <v>36045</v>
      </c>
      <c r="AK95" s="43">
        <f t="shared" si="47"/>
        <v>8893.9775925</v>
      </c>
      <c r="AL95" s="28">
        <f t="shared" si="48"/>
        <v>0.857892356776252</v>
      </c>
      <c r="AM95" s="28">
        <f t="shared" si="49"/>
        <v>0.664168527361848</v>
      </c>
      <c r="AN95" s="43">
        <f t="shared" si="50"/>
        <v>13937.4</v>
      </c>
      <c r="AP95" s="28">
        <f t="shared" si="51"/>
        <v>0.23687664</v>
      </c>
      <c r="AQ95" s="43">
        <f t="shared" si="52"/>
        <v>3301.444482336</v>
      </c>
      <c r="AR95" s="43">
        <f t="shared" si="53"/>
        <v>41812.2</v>
      </c>
      <c r="AS95" s="43">
        <f t="shared" si="54"/>
        <v>9904.333447008</v>
      </c>
      <c r="AT95" s="107">
        <f t="shared" si="55"/>
        <v>0.739562376531252</v>
      </c>
      <c r="AU95" s="107">
        <f t="shared" si="56"/>
        <v>0.596415703449935</v>
      </c>
    </row>
    <row r="96" spans="1:47">
      <c r="A96" s="25">
        <v>50</v>
      </c>
      <c r="B96" s="26">
        <v>106066</v>
      </c>
      <c r="C96" s="27" t="s">
        <v>136</v>
      </c>
      <c r="D96" s="26" t="s">
        <v>34</v>
      </c>
      <c r="E96" s="25">
        <v>6000</v>
      </c>
      <c r="F96" s="28">
        <v>0.3598</v>
      </c>
      <c r="G96" s="25">
        <f t="shared" si="31"/>
        <v>2158.8</v>
      </c>
      <c r="H96" s="29">
        <f>VLOOKUP(B96,[3]Sheet2!$A:$C,3,0)</f>
        <v>2</v>
      </c>
      <c r="J96" s="30">
        <f>VLOOKUP(B96,[1]查询时间段分门店销售汇总!$D:$L,9,0)</f>
        <v>24062.97</v>
      </c>
      <c r="K96" s="30">
        <f>VLOOKUP(B96,[1]查询时间段分门店销售汇总!$D:$M,10,0)</f>
        <v>8324.09</v>
      </c>
      <c r="L96" s="31">
        <f>E96*1.45</f>
        <v>8700</v>
      </c>
      <c r="M96" s="32">
        <v>0.336413</v>
      </c>
      <c r="N96" s="37">
        <f t="shared" si="32"/>
        <v>2926.7931</v>
      </c>
      <c r="O96" s="37">
        <f t="shared" si="33"/>
        <v>34800</v>
      </c>
      <c r="P96" s="37">
        <f t="shared" si="34"/>
        <v>11707.1724</v>
      </c>
      <c r="Q96" s="81">
        <f t="shared" si="35"/>
        <v>0.691464655172414</v>
      </c>
      <c r="R96" s="81">
        <f t="shared" si="36"/>
        <v>0.71102480732239</v>
      </c>
      <c r="S96" s="82">
        <f t="shared" si="37"/>
        <v>10005</v>
      </c>
      <c r="T96" s="83"/>
      <c r="U96" s="82">
        <f t="shared" si="58"/>
        <v>-107.3703</v>
      </c>
      <c r="V96" s="84">
        <f t="shared" si="57"/>
        <v>-53.68515</v>
      </c>
      <c r="W96" s="32">
        <f t="shared" si="38"/>
        <v>0.31622822</v>
      </c>
      <c r="X96" s="37">
        <f t="shared" si="39"/>
        <v>3163.8633411</v>
      </c>
      <c r="Y96" s="38">
        <f t="shared" si="40"/>
        <v>40020</v>
      </c>
      <c r="Z96" s="38">
        <f t="shared" si="41"/>
        <v>12655.4533644</v>
      </c>
      <c r="AA96" s="81">
        <f t="shared" si="42"/>
        <v>0.601273613193403</v>
      </c>
      <c r="AB96" s="81">
        <f t="shared" si="43"/>
        <v>0.657747277819047</v>
      </c>
      <c r="AC96" s="71"/>
      <c r="AD96" s="71"/>
      <c r="AE96" s="98">
        <f>VLOOKUP(B96,[2]查询时间段分门店销售汇总!$D:$L,9,0)</f>
        <v>23032.43</v>
      </c>
      <c r="AF96" s="98">
        <f>VLOOKUP(B96,[2]查询时间段分门店销售汇总!$D:$M,10,0)</f>
        <v>7532.9</v>
      </c>
      <c r="AG96" s="41">
        <f t="shared" si="44"/>
        <v>7743</v>
      </c>
      <c r="AH96" s="28">
        <v>0.341459195</v>
      </c>
      <c r="AI96" s="43">
        <f t="shared" si="45"/>
        <v>2643.918546885</v>
      </c>
      <c r="AJ96" s="43">
        <f t="shared" si="46"/>
        <v>23229</v>
      </c>
      <c r="AK96" s="43">
        <f t="shared" si="47"/>
        <v>7931.755640655</v>
      </c>
      <c r="AL96" s="28">
        <f t="shared" si="48"/>
        <v>0.991537733006156</v>
      </c>
      <c r="AM96" s="28">
        <f t="shared" si="49"/>
        <v>0.949714078606932</v>
      </c>
      <c r="AN96" s="43">
        <f t="shared" si="50"/>
        <v>8981.88</v>
      </c>
      <c r="AP96" s="28">
        <f t="shared" si="51"/>
        <v>0.3278008272</v>
      </c>
      <c r="AQ96" s="43">
        <f t="shared" si="52"/>
        <v>2944.26769381114</v>
      </c>
      <c r="AR96" s="43">
        <f t="shared" si="53"/>
        <v>26945.64</v>
      </c>
      <c r="AS96" s="43">
        <f t="shared" si="54"/>
        <v>8832.80308143341</v>
      </c>
      <c r="AT96" s="107">
        <f t="shared" si="55"/>
        <v>0.854773907763928</v>
      </c>
      <c r="AU96" s="107">
        <f t="shared" si="56"/>
        <v>0.852832326335248</v>
      </c>
    </row>
    <row r="97" spans="1:48">
      <c r="A97" s="25">
        <v>14</v>
      </c>
      <c r="B97" s="26">
        <v>707</v>
      </c>
      <c r="C97" s="27" t="s">
        <v>137</v>
      </c>
      <c r="D97" s="26" t="s">
        <v>51</v>
      </c>
      <c r="E97" s="25">
        <v>9600</v>
      </c>
      <c r="F97" s="28">
        <v>0.32</v>
      </c>
      <c r="G97" s="25">
        <f t="shared" si="31"/>
        <v>3072</v>
      </c>
      <c r="H97" s="29">
        <f>VLOOKUP(B97,[3]Sheet2!$A:$C,3,0)</f>
        <v>3</v>
      </c>
      <c r="I97" s="25">
        <f>VLOOKUP(B97,[3]实习生!$A:$C,3,0)</f>
        <v>2</v>
      </c>
      <c r="J97" s="30">
        <f>VLOOKUP(B97,[1]查询时间段分门店销售汇总!$D:$L,9,0)</f>
        <v>37092.64</v>
      </c>
      <c r="K97" s="30">
        <f>VLOOKUP(B97,[1]查询时间段分门店销售汇总!$D:$M,10,0)</f>
        <v>12011.01</v>
      </c>
      <c r="L97" s="31">
        <f>E97*1.4</f>
        <v>13440</v>
      </c>
      <c r="M97" s="32">
        <v>0.2992</v>
      </c>
      <c r="N97" s="37">
        <f t="shared" si="32"/>
        <v>4021.248</v>
      </c>
      <c r="O97" s="37">
        <f t="shared" si="33"/>
        <v>53760</v>
      </c>
      <c r="P97" s="37">
        <f t="shared" si="34"/>
        <v>16084.992</v>
      </c>
      <c r="Q97" s="81">
        <f t="shared" si="35"/>
        <v>0.689967261904762</v>
      </c>
      <c r="R97" s="81">
        <f t="shared" si="36"/>
        <v>0.746721540178571</v>
      </c>
      <c r="S97" s="82">
        <f t="shared" si="37"/>
        <v>15456</v>
      </c>
      <c r="T97" s="83"/>
      <c r="U97" s="82">
        <f t="shared" si="58"/>
        <v>-166.6736</v>
      </c>
      <c r="V97" s="84">
        <f t="shared" si="57"/>
        <v>-83.3368</v>
      </c>
      <c r="W97" s="32">
        <f t="shared" si="38"/>
        <v>0.281248</v>
      </c>
      <c r="X97" s="37">
        <f t="shared" si="39"/>
        <v>4346.969088</v>
      </c>
      <c r="Y97" s="38">
        <f t="shared" si="40"/>
        <v>61824</v>
      </c>
      <c r="Z97" s="38">
        <f t="shared" si="41"/>
        <v>17387.876352</v>
      </c>
      <c r="AA97" s="81">
        <f t="shared" si="42"/>
        <v>0.599971532091097</v>
      </c>
      <c r="AB97" s="81">
        <f t="shared" si="43"/>
        <v>0.690769232357605</v>
      </c>
      <c r="AC97" s="71"/>
      <c r="AD97" s="71"/>
      <c r="AE97" s="98">
        <f>VLOOKUP(B97,[2]查询时间段分门店销售汇总!$D:$L,9,0)</f>
        <v>56271.54</v>
      </c>
      <c r="AF97" s="98">
        <f>VLOOKUP(B97,[2]查询时间段分门店销售汇总!$D:$M,10,0)</f>
        <v>14799.27</v>
      </c>
      <c r="AG97" s="41">
        <f t="shared" si="44"/>
        <v>11961.6</v>
      </c>
      <c r="AH97" s="28">
        <v>0.303688</v>
      </c>
      <c r="AI97" s="43">
        <f t="shared" si="45"/>
        <v>3632.5943808</v>
      </c>
      <c r="AJ97" s="43">
        <f t="shared" si="46"/>
        <v>35884.8</v>
      </c>
      <c r="AK97" s="43">
        <f t="shared" si="47"/>
        <v>10897.7831424</v>
      </c>
      <c r="AL97" s="103">
        <f t="shared" si="48"/>
        <v>1.56811630551097</v>
      </c>
      <c r="AM97" s="103">
        <f t="shared" si="49"/>
        <v>1.35800738614632</v>
      </c>
      <c r="AN97" s="43">
        <f t="shared" si="50"/>
        <v>13875.456</v>
      </c>
      <c r="AP97" s="28">
        <f t="shared" si="51"/>
        <v>0.29154048</v>
      </c>
      <c r="AQ97" s="43">
        <f t="shared" si="52"/>
        <v>4045.25710245888</v>
      </c>
      <c r="AR97" s="43">
        <f t="shared" si="53"/>
        <v>41626.368</v>
      </c>
      <c r="AS97" s="43">
        <f t="shared" si="54"/>
        <v>12135.7713073766</v>
      </c>
      <c r="AT97" s="109">
        <f t="shared" si="55"/>
        <v>1.35182440130256</v>
      </c>
      <c r="AU97" s="109">
        <f t="shared" si="56"/>
        <v>1.21947502347909</v>
      </c>
      <c r="AV97" s="44">
        <f>(AF97-AK97)*0.1</f>
        <v>390.14868576</v>
      </c>
    </row>
    <row r="98" spans="1:47">
      <c r="A98" s="25">
        <v>88</v>
      </c>
      <c r="B98" s="26">
        <v>116482</v>
      </c>
      <c r="C98" s="27" t="s">
        <v>138</v>
      </c>
      <c r="D98" s="26" t="s">
        <v>42</v>
      </c>
      <c r="E98" s="25">
        <v>4000</v>
      </c>
      <c r="F98" s="28">
        <v>0.3065</v>
      </c>
      <c r="G98" s="25">
        <f t="shared" si="31"/>
        <v>1226</v>
      </c>
      <c r="H98" s="29">
        <f>VLOOKUP(B98,[3]Sheet2!$A:$C,3,0)</f>
        <v>2</v>
      </c>
      <c r="J98" s="30">
        <f>VLOOKUP(B98,[1]查询时间段分门店销售汇总!$D:$L,9,0)</f>
        <v>17031.55</v>
      </c>
      <c r="K98" s="30">
        <f>VLOOKUP(B98,[1]查询时间段分门店销售汇总!$D:$M,10,0)</f>
        <v>3867.16</v>
      </c>
      <c r="L98" s="31">
        <f>E98*1.55</f>
        <v>6200</v>
      </c>
      <c r="M98" s="32">
        <v>0.2865775</v>
      </c>
      <c r="N98" s="37">
        <f t="shared" si="32"/>
        <v>1776.7805</v>
      </c>
      <c r="O98" s="37">
        <f t="shared" si="33"/>
        <v>24800</v>
      </c>
      <c r="P98" s="37">
        <f t="shared" si="34"/>
        <v>7107.122</v>
      </c>
      <c r="Q98" s="81">
        <f t="shared" si="35"/>
        <v>0.686756048387097</v>
      </c>
      <c r="R98" s="81">
        <f t="shared" si="36"/>
        <v>0.544124611903384</v>
      </c>
      <c r="S98" s="82">
        <f t="shared" si="37"/>
        <v>7130</v>
      </c>
      <c r="T98" s="83"/>
      <c r="U98" s="82">
        <f t="shared" si="58"/>
        <v>-77.6845</v>
      </c>
      <c r="V98" s="84">
        <f t="shared" si="57"/>
        <v>-38.84225</v>
      </c>
      <c r="W98" s="32">
        <f t="shared" si="38"/>
        <v>0.26938285</v>
      </c>
      <c r="X98" s="37">
        <f t="shared" si="39"/>
        <v>1920.6997205</v>
      </c>
      <c r="Y98" s="38">
        <f t="shared" si="40"/>
        <v>28520</v>
      </c>
      <c r="Z98" s="38">
        <f t="shared" si="41"/>
        <v>7682.798882</v>
      </c>
      <c r="AA98" s="81">
        <f t="shared" si="42"/>
        <v>0.597179172510519</v>
      </c>
      <c r="AB98" s="81">
        <f t="shared" si="43"/>
        <v>0.503353017486942</v>
      </c>
      <c r="AC98" s="71"/>
      <c r="AD98" s="71"/>
      <c r="AE98" s="98">
        <f>VLOOKUP(B98,[2]查询时间段分门店销售汇总!$D:$L,9,0)</f>
        <v>12116.08</v>
      </c>
      <c r="AF98" s="98">
        <f>VLOOKUP(B98,[2]查询时间段分门店销售汇总!$D:$M,10,0)</f>
        <v>3221.07</v>
      </c>
      <c r="AG98" s="41">
        <f t="shared" si="44"/>
        <v>5518</v>
      </c>
      <c r="AH98" s="28">
        <v>0.2908761625</v>
      </c>
      <c r="AI98" s="43">
        <f t="shared" si="45"/>
        <v>1605.054664675</v>
      </c>
      <c r="AJ98" s="43">
        <f t="shared" si="46"/>
        <v>16554</v>
      </c>
      <c r="AK98" s="43">
        <f t="shared" si="47"/>
        <v>4815.163994025</v>
      </c>
      <c r="AL98" s="28">
        <f t="shared" si="48"/>
        <v>0.731912528693971</v>
      </c>
      <c r="AM98" s="28">
        <f t="shared" si="49"/>
        <v>0.668942948567678</v>
      </c>
      <c r="AN98" s="43">
        <f t="shared" si="50"/>
        <v>6400.88</v>
      </c>
      <c r="AP98" s="28">
        <f t="shared" si="51"/>
        <v>0.279241116</v>
      </c>
      <c r="AQ98" s="43">
        <f t="shared" si="52"/>
        <v>1787.38887458208</v>
      </c>
      <c r="AR98" s="43">
        <f t="shared" si="53"/>
        <v>19202.64</v>
      </c>
      <c r="AS98" s="43">
        <f t="shared" si="54"/>
        <v>5362.16662374624</v>
      </c>
      <c r="AT98" s="107">
        <f t="shared" si="55"/>
        <v>0.63095907646032</v>
      </c>
      <c r="AU98" s="107">
        <f t="shared" si="56"/>
        <v>0.600703078814366</v>
      </c>
    </row>
    <row r="99" spans="1:47">
      <c r="A99" s="25">
        <v>84</v>
      </c>
      <c r="B99" s="26">
        <v>102935</v>
      </c>
      <c r="C99" s="27" t="s">
        <v>139</v>
      </c>
      <c r="D99" s="26" t="s">
        <v>34</v>
      </c>
      <c r="E99" s="25">
        <v>4300</v>
      </c>
      <c r="F99" s="28">
        <v>0.3783</v>
      </c>
      <c r="G99" s="25">
        <f t="shared" si="31"/>
        <v>1626.69</v>
      </c>
      <c r="H99" s="29">
        <f>VLOOKUP(B99,[3]Sheet2!$A:$C,3,0)</f>
        <v>2</v>
      </c>
      <c r="J99" s="30">
        <f>VLOOKUP(B99,[1]查询时间段分门店销售汇总!$D:$L,9,0)</f>
        <v>18303.38</v>
      </c>
      <c r="K99" s="30">
        <f>VLOOKUP(B99,[1]查询时间段分门店销售汇总!$D:$M,10,0)</f>
        <v>5742.68</v>
      </c>
      <c r="L99" s="31">
        <f>E99*1.55</f>
        <v>6665</v>
      </c>
      <c r="M99" s="32">
        <v>0.32</v>
      </c>
      <c r="N99" s="37">
        <f t="shared" si="32"/>
        <v>2132.8</v>
      </c>
      <c r="O99" s="37">
        <f t="shared" si="33"/>
        <v>26660</v>
      </c>
      <c r="P99" s="37">
        <f t="shared" si="34"/>
        <v>8531.2</v>
      </c>
      <c r="Q99" s="81">
        <f t="shared" si="35"/>
        <v>0.686548387096774</v>
      </c>
      <c r="R99" s="81">
        <f t="shared" si="36"/>
        <v>0.673138597149287</v>
      </c>
      <c r="S99" s="82">
        <f t="shared" si="37"/>
        <v>7664.75</v>
      </c>
      <c r="T99" s="83"/>
      <c r="U99" s="82">
        <f t="shared" si="58"/>
        <v>-83.5662</v>
      </c>
      <c r="V99" s="84">
        <f t="shared" si="57"/>
        <v>-41.7831</v>
      </c>
      <c r="W99" s="32">
        <f t="shared" si="38"/>
        <v>0.3008</v>
      </c>
      <c r="X99" s="37">
        <f t="shared" si="39"/>
        <v>2305.5568</v>
      </c>
      <c r="Y99" s="38">
        <f t="shared" si="40"/>
        <v>30659</v>
      </c>
      <c r="Z99" s="38">
        <f t="shared" si="41"/>
        <v>9222.2272</v>
      </c>
      <c r="AA99" s="81">
        <f t="shared" si="42"/>
        <v>0.596998597475456</v>
      </c>
      <c r="AB99" s="81">
        <f t="shared" si="43"/>
        <v>0.622699904855955</v>
      </c>
      <c r="AC99" s="71"/>
      <c r="AD99" s="71"/>
      <c r="AE99" s="98">
        <f>VLOOKUP(B99,[2]查询时间段分门店销售汇总!$D:$L,9,0)</f>
        <v>10804.96</v>
      </c>
      <c r="AF99" s="98">
        <f>VLOOKUP(B99,[2]查询时间段分门店销售汇总!$D:$M,10,0)</f>
        <v>3765.15</v>
      </c>
      <c r="AG99" s="41">
        <f t="shared" si="44"/>
        <v>5931.85</v>
      </c>
      <c r="AH99" s="28">
        <v>0.3248</v>
      </c>
      <c r="AI99" s="43">
        <f t="shared" si="45"/>
        <v>1926.66488</v>
      </c>
      <c r="AJ99" s="43">
        <f t="shared" si="46"/>
        <v>17795.55</v>
      </c>
      <c r="AK99" s="43">
        <f t="shared" si="47"/>
        <v>5779.99464</v>
      </c>
      <c r="AL99" s="28">
        <f t="shared" si="48"/>
        <v>0.607172017723532</v>
      </c>
      <c r="AM99" s="28">
        <f t="shared" si="49"/>
        <v>0.651410638678378</v>
      </c>
      <c r="AN99" s="43">
        <f t="shared" si="50"/>
        <v>6880.946</v>
      </c>
      <c r="AP99" s="28">
        <f t="shared" si="51"/>
        <v>0.311808</v>
      </c>
      <c r="AQ99" s="43">
        <f t="shared" si="52"/>
        <v>2145.534010368</v>
      </c>
      <c r="AR99" s="43">
        <f t="shared" si="53"/>
        <v>20642.838</v>
      </c>
      <c r="AS99" s="43">
        <f t="shared" si="54"/>
        <v>6436.602031104</v>
      </c>
      <c r="AT99" s="107">
        <f t="shared" si="55"/>
        <v>0.523424153209941</v>
      </c>
      <c r="AU99" s="107">
        <f t="shared" si="56"/>
        <v>0.584959266054578</v>
      </c>
    </row>
    <row r="100" spans="1:47">
      <c r="A100" s="25">
        <v>93</v>
      </c>
      <c r="B100" s="26">
        <v>723</v>
      </c>
      <c r="C100" s="27" t="s">
        <v>140</v>
      </c>
      <c r="D100" s="26" t="s">
        <v>42</v>
      </c>
      <c r="E100" s="25">
        <v>3900</v>
      </c>
      <c r="F100" s="28">
        <v>0.2957</v>
      </c>
      <c r="G100" s="25">
        <f t="shared" si="31"/>
        <v>1153.23</v>
      </c>
      <c r="H100" s="29">
        <f>VLOOKUP(B100,[3]Sheet2!$A:$C,3,0)</f>
        <v>2</v>
      </c>
      <c r="J100" s="30">
        <f>VLOOKUP(B100,[1]查询时间段分门店销售汇总!$D:$L,9,0)</f>
        <v>16883.74</v>
      </c>
      <c r="K100" s="30">
        <f>VLOOKUP(B100,[1]查询时间段分门店销售汇总!$D:$M,10,0)</f>
        <v>5106.05</v>
      </c>
      <c r="L100" s="31">
        <f>E100*1.6</f>
        <v>6240</v>
      </c>
      <c r="M100" s="32">
        <v>0.2764795</v>
      </c>
      <c r="N100" s="37">
        <f t="shared" si="32"/>
        <v>1725.23208</v>
      </c>
      <c r="O100" s="37">
        <f t="shared" si="33"/>
        <v>24960</v>
      </c>
      <c r="P100" s="37">
        <f t="shared" si="34"/>
        <v>6900.92832</v>
      </c>
      <c r="Q100" s="81">
        <f t="shared" si="35"/>
        <v>0.676431891025641</v>
      </c>
      <c r="R100" s="81">
        <f t="shared" si="36"/>
        <v>0.739907699838273</v>
      </c>
      <c r="S100" s="82">
        <f t="shared" si="37"/>
        <v>7176</v>
      </c>
      <c r="T100" s="83"/>
      <c r="U100" s="82">
        <f t="shared" si="58"/>
        <v>-80.7626</v>
      </c>
      <c r="V100" s="84">
        <f t="shared" si="57"/>
        <v>-40.3813</v>
      </c>
      <c r="W100" s="32">
        <f t="shared" si="38"/>
        <v>0.25989073</v>
      </c>
      <c r="X100" s="37">
        <f t="shared" si="39"/>
        <v>1864.97587848</v>
      </c>
      <c r="Y100" s="38">
        <f t="shared" si="40"/>
        <v>28704</v>
      </c>
      <c r="Z100" s="38">
        <f t="shared" si="41"/>
        <v>7459.90351392</v>
      </c>
      <c r="AA100" s="81">
        <f t="shared" si="42"/>
        <v>0.588201644370123</v>
      </c>
      <c r="AB100" s="81">
        <f t="shared" si="43"/>
        <v>0.6844659572972</v>
      </c>
      <c r="AC100" s="71"/>
      <c r="AD100" s="71"/>
      <c r="AE100" s="98">
        <f>VLOOKUP(B100,[2]查询时间段分门店销售汇总!$D:$L,9,0)</f>
        <v>12280.49</v>
      </c>
      <c r="AF100" s="98">
        <f>VLOOKUP(B100,[2]查询时间段分门店销售汇总!$D:$M,10,0)</f>
        <v>3221.5</v>
      </c>
      <c r="AG100" s="41">
        <f t="shared" si="44"/>
        <v>5553.6</v>
      </c>
      <c r="AH100" s="28">
        <v>0.2806266925</v>
      </c>
      <c r="AI100" s="43">
        <f t="shared" si="45"/>
        <v>1558.488399468</v>
      </c>
      <c r="AJ100" s="43">
        <f t="shared" si="46"/>
        <v>16660.8</v>
      </c>
      <c r="AK100" s="43">
        <f t="shared" si="47"/>
        <v>4675.465198404</v>
      </c>
      <c r="AL100" s="28">
        <f t="shared" si="48"/>
        <v>0.737088855277057</v>
      </c>
      <c r="AM100" s="28">
        <f t="shared" si="49"/>
        <v>0.689022346075783</v>
      </c>
      <c r="AN100" s="43">
        <f t="shared" si="50"/>
        <v>6442.176</v>
      </c>
      <c r="AP100" s="28">
        <f t="shared" si="51"/>
        <v>0.2694016248</v>
      </c>
      <c r="AQ100" s="43">
        <f t="shared" si="52"/>
        <v>1735.53268164756</v>
      </c>
      <c r="AR100" s="43">
        <f t="shared" si="53"/>
        <v>19326.528</v>
      </c>
      <c r="AS100" s="43">
        <f t="shared" si="54"/>
        <v>5206.59804494269</v>
      </c>
      <c r="AT100" s="107">
        <f t="shared" si="55"/>
        <v>0.635421426962981</v>
      </c>
      <c r="AU100" s="107">
        <f t="shared" si="56"/>
        <v>0.618734146978972</v>
      </c>
    </row>
    <row r="101" spans="1:47">
      <c r="A101" s="25">
        <v>75</v>
      </c>
      <c r="B101" s="26">
        <v>103639</v>
      </c>
      <c r="C101" s="27" t="s">
        <v>141</v>
      </c>
      <c r="D101" s="26" t="s">
        <v>51</v>
      </c>
      <c r="E101" s="25">
        <v>4800</v>
      </c>
      <c r="F101" s="28">
        <v>0.3201</v>
      </c>
      <c r="G101" s="25">
        <f t="shared" si="31"/>
        <v>1536.48</v>
      </c>
      <c r="H101" s="29">
        <f>VLOOKUP(B101,[3]Sheet2!$A:$C,3,0)</f>
        <v>2</v>
      </c>
      <c r="I101" s="25">
        <f>VLOOKUP(B101,[3]实习生!$A:$C,3,0)</f>
        <v>1</v>
      </c>
      <c r="J101" s="30">
        <f>VLOOKUP(B101,[1]查询时间段分门店销售汇总!$D:$L,9,0)</f>
        <v>20092.34</v>
      </c>
      <c r="K101" s="30">
        <f>VLOOKUP(B101,[1]查询时间段分门店销售汇总!$D:$M,10,0)</f>
        <v>6665.99</v>
      </c>
      <c r="L101" s="31">
        <f>E101*1.55</f>
        <v>7440</v>
      </c>
      <c r="M101" s="32">
        <v>0.2992935</v>
      </c>
      <c r="N101" s="37">
        <f t="shared" si="32"/>
        <v>2226.74364</v>
      </c>
      <c r="O101" s="37">
        <f t="shared" si="33"/>
        <v>29760</v>
      </c>
      <c r="P101" s="37">
        <f t="shared" si="34"/>
        <v>8906.97456</v>
      </c>
      <c r="Q101" s="81">
        <f t="shared" si="35"/>
        <v>0.675145833333333</v>
      </c>
      <c r="R101" s="81">
        <f t="shared" si="36"/>
        <v>0.748401149581817</v>
      </c>
      <c r="S101" s="82">
        <f t="shared" si="37"/>
        <v>8556</v>
      </c>
      <c r="T101" s="83"/>
      <c r="U101" s="82">
        <f t="shared" si="58"/>
        <v>-96.6766</v>
      </c>
      <c r="V101" s="84">
        <f t="shared" ref="V101:V132" si="59">U101/2</f>
        <v>-48.3383</v>
      </c>
      <c r="W101" s="32">
        <f t="shared" si="38"/>
        <v>0.28133589</v>
      </c>
      <c r="X101" s="37">
        <f t="shared" si="39"/>
        <v>2407.10987484</v>
      </c>
      <c r="Y101" s="38">
        <f t="shared" si="40"/>
        <v>34224</v>
      </c>
      <c r="Z101" s="38">
        <f t="shared" si="41"/>
        <v>9628.43949936</v>
      </c>
      <c r="AA101" s="81">
        <f t="shared" si="42"/>
        <v>0.587083333333333</v>
      </c>
      <c r="AB101" s="81">
        <f t="shared" si="43"/>
        <v>0.69232298758725</v>
      </c>
      <c r="AC101" s="71"/>
      <c r="AD101" s="71"/>
      <c r="AE101" s="98">
        <f>VLOOKUP(B101,[2]查询时间段分门店销售汇总!$D:$L,9,0)</f>
        <v>20969.7</v>
      </c>
      <c r="AF101" s="98">
        <f>VLOOKUP(B101,[2]查询时间段分门店销售汇总!$D:$M,10,0)</f>
        <v>6908.4</v>
      </c>
      <c r="AG101" s="41">
        <f t="shared" si="44"/>
        <v>6621.6</v>
      </c>
      <c r="AH101" s="28">
        <v>0.3037829025</v>
      </c>
      <c r="AI101" s="43">
        <f t="shared" si="45"/>
        <v>2011.528867194</v>
      </c>
      <c r="AJ101" s="43">
        <f t="shared" si="46"/>
        <v>19864.8</v>
      </c>
      <c r="AK101" s="43">
        <f t="shared" si="47"/>
        <v>6034.586601582</v>
      </c>
      <c r="AL101" s="103">
        <f t="shared" si="48"/>
        <v>1.05562099794612</v>
      </c>
      <c r="AM101" s="103">
        <f t="shared" si="49"/>
        <v>1.14480087139506</v>
      </c>
      <c r="AN101" s="43">
        <f t="shared" si="50"/>
        <v>7681.056</v>
      </c>
      <c r="AO101" s="44" t="s">
        <v>40</v>
      </c>
      <c r="AP101" s="28">
        <f t="shared" si="51"/>
        <v>0.2916315864</v>
      </c>
      <c r="AQ101" s="43">
        <f t="shared" si="52"/>
        <v>2240.03854650724</v>
      </c>
      <c r="AR101" s="43">
        <f t="shared" si="53"/>
        <v>23043.168</v>
      </c>
      <c r="AS101" s="43">
        <f t="shared" si="54"/>
        <v>6720.11563952171</v>
      </c>
      <c r="AT101" s="107">
        <f t="shared" si="55"/>
        <v>0.910018101677686</v>
      </c>
      <c r="AU101" s="107">
        <f t="shared" si="56"/>
        <v>1.02801802388205</v>
      </c>
    </row>
    <row r="102" spans="1:47">
      <c r="A102" s="25">
        <v>8</v>
      </c>
      <c r="B102" s="26">
        <v>571</v>
      </c>
      <c r="C102" s="27" t="s">
        <v>142</v>
      </c>
      <c r="D102" s="26" t="s">
        <v>51</v>
      </c>
      <c r="E102" s="25">
        <v>12000</v>
      </c>
      <c r="F102" s="28">
        <v>0.28</v>
      </c>
      <c r="G102" s="25">
        <f t="shared" si="31"/>
        <v>3360</v>
      </c>
      <c r="H102" s="29">
        <f>VLOOKUP(B102,[3]Sheet2!$A:$C,3,0)</f>
        <v>2</v>
      </c>
      <c r="I102" s="25">
        <f>VLOOKUP(B102,[3]实习生!$A:$C,3,0)</f>
        <v>2</v>
      </c>
      <c r="J102" s="30">
        <f>VLOOKUP(B102,[1]查询时间段分门店销售汇总!$D:$L,9,0)</f>
        <v>43506.52</v>
      </c>
      <c r="K102" s="30">
        <f>VLOOKUP(B102,[1]查询时间段分门店销售汇总!$D:$M,10,0)</f>
        <v>12388.57</v>
      </c>
      <c r="L102" s="31">
        <f>E102*1.35</f>
        <v>16200</v>
      </c>
      <c r="M102" s="32">
        <v>0.2618</v>
      </c>
      <c r="N102" s="37">
        <f t="shared" si="32"/>
        <v>4241.16</v>
      </c>
      <c r="O102" s="37">
        <f t="shared" si="33"/>
        <v>64800</v>
      </c>
      <c r="P102" s="37">
        <f t="shared" si="34"/>
        <v>16964.64</v>
      </c>
      <c r="Q102" s="81">
        <f t="shared" si="35"/>
        <v>0.671396913580247</v>
      </c>
      <c r="R102" s="81">
        <f t="shared" si="36"/>
        <v>0.730258349130898</v>
      </c>
      <c r="S102" s="82">
        <f t="shared" si="37"/>
        <v>18630</v>
      </c>
      <c r="T102" s="83"/>
      <c r="U102" s="84">
        <f t="shared" si="58"/>
        <v>-212.9348</v>
      </c>
      <c r="V102" s="84">
        <f t="shared" si="59"/>
        <v>-106.4674</v>
      </c>
      <c r="W102" s="32">
        <f t="shared" si="38"/>
        <v>0.246092</v>
      </c>
      <c r="X102" s="37">
        <f t="shared" si="39"/>
        <v>4584.69396</v>
      </c>
      <c r="Y102" s="38">
        <f t="shared" si="40"/>
        <v>74520</v>
      </c>
      <c r="Z102" s="38">
        <f t="shared" si="41"/>
        <v>18338.77584</v>
      </c>
      <c r="AA102" s="81">
        <f t="shared" si="42"/>
        <v>0.583823403113258</v>
      </c>
      <c r="AB102" s="81">
        <f t="shared" si="43"/>
        <v>0.675539638418962</v>
      </c>
      <c r="AC102" s="71"/>
      <c r="AD102" s="71"/>
      <c r="AE102" s="98">
        <f>VLOOKUP(B102,[2]查询时间段分门店销售汇总!$D:$L,9,0)</f>
        <v>37210.87</v>
      </c>
      <c r="AF102" s="98">
        <f>VLOOKUP(B102,[2]查询时间段分门店销售汇总!$D:$M,10,0)</f>
        <v>10319.92</v>
      </c>
      <c r="AG102" s="41">
        <f t="shared" si="44"/>
        <v>14418</v>
      </c>
      <c r="AH102" s="28">
        <v>0.265727</v>
      </c>
      <c r="AI102" s="43">
        <f t="shared" si="45"/>
        <v>3831.251886</v>
      </c>
      <c r="AJ102" s="43">
        <f t="shared" si="46"/>
        <v>43254</v>
      </c>
      <c r="AK102" s="43">
        <f t="shared" si="47"/>
        <v>11493.755658</v>
      </c>
      <c r="AL102" s="28">
        <f t="shared" si="48"/>
        <v>0.860287372266149</v>
      </c>
      <c r="AM102" s="28">
        <f t="shared" si="49"/>
        <v>0.897871879920905</v>
      </c>
      <c r="AN102" s="43">
        <f t="shared" si="50"/>
        <v>16724.88</v>
      </c>
      <c r="AP102" s="28">
        <f t="shared" si="51"/>
        <v>0.25509792</v>
      </c>
      <c r="AQ102" s="43">
        <f t="shared" si="52"/>
        <v>4266.4821002496</v>
      </c>
      <c r="AR102" s="43">
        <f t="shared" si="53"/>
        <v>50174.64</v>
      </c>
      <c r="AS102" s="43">
        <f t="shared" si="54"/>
        <v>12799.4463007488</v>
      </c>
      <c r="AT102" s="107">
        <f t="shared" si="55"/>
        <v>0.741627045057025</v>
      </c>
      <c r="AU102" s="107">
        <f t="shared" si="56"/>
        <v>0.806278627802537</v>
      </c>
    </row>
    <row r="103" spans="1:47">
      <c r="A103" s="25">
        <v>39</v>
      </c>
      <c r="B103" s="26">
        <v>747</v>
      </c>
      <c r="C103" s="27" t="s">
        <v>143</v>
      </c>
      <c r="D103" s="26" t="s">
        <v>42</v>
      </c>
      <c r="E103" s="25">
        <v>6800</v>
      </c>
      <c r="F103" s="28">
        <v>0.245</v>
      </c>
      <c r="G103" s="25">
        <f t="shared" si="31"/>
        <v>1666</v>
      </c>
      <c r="H103" s="29">
        <f>VLOOKUP(B103,[3]Sheet2!$A:$C,3,0)</f>
        <v>2</v>
      </c>
      <c r="I103" s="25">
        <f>VLOOKUP(B103,[3]实习生!$A:$C,3,0)</f>
        <v>1</v>
      </c>
      <c r="J103" s="30">
        <f>VLOOKUP(B103,[1]查询时间段分门店销售汇总!$D:$L,9,0)</f>
        <v>26476.36</v>
      </c>
      <c r="K103" s="30">
        <f>VLOOKUP(B103,[1]查询时间段分门店销售汇总!$D:$M,10,0)</f>
        <v>6408.88</v>
      </c>
      <c r="L103" s="31">
        <f>E103*1.45</f>
        <v>9860</v>
      </c>
      <c r="M103" s="32">
        <v>0.229075</v>
      </c>
      <c r="N103" s="37">
        <f t="shared" si="32"/>
        <v>2258.6795</v>
      </c>
      <c r="O103" s="37">
        <f t="shared" si="33"/>
        <v>39440</v>
      </c>
      <c r="P103" s="37">
        <f t="shared" si="34"/>
        <v>9034.718</v>
      </c>
      <c r="Q103" s="81">
        <f t="shared" si="35"/>
        <v>0.671307302231237</v>
      </c>
      <c r="R103" s="81">
        <f t="shared" si="36"/>
        <v>0.709361376857584</v>
      </c>
      <c r="S103" s="82">
        <f t="shared" si="37"/>
        <v>11339</v>
      </c>
      <c r="T103" s="83"/>
      <c r="U103" s="82">
        <f t="shared" si="58"/>
        <v>-129.6364</v>
      </c>
      <c r="V103" s="84">
        <f t="shared" si="59"/>
        <v>-64.8182</v>
      </c>
      <c r="W103" s="32">
        <f t="shared" si="38"/>
        <v>0.2153305</v>
      </c>
      <c r="X103" s="37">
        <f t="shared" si="39"/>
        <v>2441.6325395</v>
      </c>
      <c r="Y103" s="38">
        <f t="shared" si="40"/>
        <v>45356</v>
      </c>
      <c r="Z103" s="38">
        <f t="shared" si="41"/>
        <v>9766.530158</v>
      </c>
      <c r="AA103" s="81">
        <f t="shared" si="42"/>
        <v>0.583745480201076</v>
      </c>
      <c r="AB103" s="81">
        <f t="shared" si="43"/>
        <v>0.656208489229958</v>
      </c>
      <c r="AC103" s="71"/>
      <c r="AD103" s="71"/>
      <c r="AE103" s="98">
        <f>VLOOKUP(B103,[2]查询时间段分门店销售汇总!$D:$L,9,0)</f>
        <v>20550.47</v>
      </c>
      <c r="AF103" s="98">
        <f>VLOOKUP(B103,[2]查询时间段分门店销售汇总!$D:$M,10,0)</f>
        <v>5078.1</v>
      </c>
      <c r="AG103" s="41">
        <f t="shared" si="44"/>
        <v>8775.4</v>
      </c>
      <c r="AH103" s="28">
        <v>0.232511125</v>
      </c>
      <c r="AI103" s="43">
        <f t="shared" si="45"/>
        <v>2040.378126325</v>
      </c>
      <c r="AJ103" s="43">
        <f t="shared" si="46"/>
        <v>26326.2</v>
      </c>
      <c r="AK103" s="43">
        <f t="shared" si="47"/>
        <v>6121.134378975</v>
      </c>
      <c r="AL103" s="28">
        <f t="shared" si="48"/>
        <v>0.780609051059401</v>
      </c>
      <c r="AM103" s="28">
        <f t="shared" si="49"/>
        <v>0.829601130379095</v>
      </c>
      <c r="AN103" s="43">
        <f t="shared" si="50"/>
        <v>10179.464</v>
      </c>
      <c r="AP103" s="28">
        <f t="shared" si="51"/>
        <v>0.22321068</v>
      </c>
      <c r="AQ103" s="43">
        <f t="shared" si="52"/>
        <v>2272.16508147552</v>
      </c>
      <c r="AR103" s="43">
        <f t="shared" si="53"/>
        <v>30538.392</v>
      </c>
      <c r="AS103" s="43">
        <f t="shared" si="54"/>
        <v>6816.49524442656</v>
      </c>
      <c r="AT103" s="107">
        <f t="shared" si="55"/>
        <v>0.672938837120173</v>
      </c>
      <c r="AU103" s="107">
        <f t="shared" si="56"/>
        <v>0.744972279435251</v>
      </c>
    </row>
    <row r="104" spans="1:47">
      <c r="A104" s="25">
        <v>20</v>
      </c>
      <c r="B104" s="26">
        <v>581</v>
      </c>
      <c r="C104" s="27" t="s">
        <v>144</v>
      </c>
      <c r="D104" s="26" t="s">
        <v>65</v>
      </c>
      <c r="E104" s="25">
        <v>8200</v>
      </c>
      <c r="F104" s="28">
        <v>0.2768</v>
      </c>
      <c r="G104" s="25">
        <f t="shared" si="31"/>
        <v>2269.76</v>
      </c>
      <c r="H104" s="29">
        <f>VLOOKUP(B104,[3]Sheet2!$A:$C,3,0)</f>
        <v>3</v>
      </c>
      <c r="I104" s="25">
        <f>VLOOKUP(B104,[3]实习生!$A:$C,3,0)</f>
        <v>1</v>
      </c>
      <c r="J104" s="30">
        <f>VLOOKUP(B104,[1]查询时间段分门店销售汇总!$D:$L,9,0)</f>
        <v>30710.97</v>
      </c>
      <c r="K104" s="30">
        <f>VLOOKUP(B104,[1]查询时间段分门店销售汇总!$D:$M,10,0)</f>
        <v>8332.6</v>
      </c>
      <c r="L104" s="31">
        <f>E104*1.4</f>
        <v>11480</v>
      </c>
      <c r="M104" s="32">
        <v>0.258808</v>
      </c>
      <c r="N104" s="37">
        <f t="shared" si="32"/>
        <v>2971.11584</v>
      </c>
      <c r="O104" s="37">
        <f t="shared" si="33"/>
        <v>45920</v>
      </c>
      <c r="P104" s="37">
        <f t="shared" si="34"/>
        <v>11884.46336</v>
      </c>
      <c r="Q104" s="81">
        <f t="shared" si="35"/>
        <v>0.668792900696864</v>
      </c>
      <c r="R104" s="81">
        <f t="shared" si="36"/>
        <v>0.701133887798868</v>
      </c>
      <c r="S104" s="82">
        <f t="shared" si="37"/>
        <v>13202</v>
      </c>
      <c r="T104" s="83"/>
      <c r="U104" s="82">
        <f t="shared" si="58"/>
        <v>-152.0903</v>
      </c>
      <c r="V104" s="84">
        <f t="shared" si="59"/>
        <v>-76.04515</v>
      </c>
      <c r="W104" s="32">
        <f t="shared" si="38"/>
        <v>0.24327952</v>
      </c>
      <c r="X104" s="37">
        <f t="shared" si="39"/>
        <v>3211.77622304</v>
      </c>
      <c r="Y104" s="38">
        <f t="shared" si="40"/>
        <v>52808</v>
      </c>
      <c r="Z104" s="38">
        <f t="shared" si="41"/>
        <v>12847.10489216</v>
      </c>
      <c r="AA104" s="81">
        <f t="shared" si="42"/>
        <v>0.58155904408423</v>
      </c>
      <c r="AB104" s="81">
        <f t="shared" si="43"/>
        <v>0.64859749102578</v>
      </c>
      <c r="AC104" s="71"/>
      <c r="AD104" s="71"/>
      <c r="AE104" s="98">
        <f>VLOOKUP(B104,[2]查询时间段分门店销售汇总!$D:$L,9,0)</f>
        <v>29379.65</v>
      </c>
      <c r="AF104" s="98">
        <f>VLOOKUP(B104,[2]查询时间段分门店销售汇总!$D:$M,10,0)</f>
        <v>7566.38</v>
      </c>
      <c r="AG104" s="41">
        <f t="shared" si="44"/>
        <v>10217.2</v>
      </c>
      <c r="AH104" s="28">
        <v>0.26269012</v>
      </c>
      <c r="AI104" s="43">
        <f t="shared" si="45"/>
        <v>2683.957494064</v>
      </c>
      <c r="AJ104" s="43">
        <f t="shared" si="46"/>
        <v>30651.6</v>
      </c>
      <c r="AK104" s="43">
        <f t="shared" si="47"/>
        <v>8051.872482192</v>
      </c>
      <c r="AL104" s="28">
        <f t="shared" si="48"/>
        <v>0.958502981899803</v>
      </c>
      <c r="AM104" s="28">
        <f t="shared" si="49"/>
        <v>0.939704400030459</v>
      </c>
      <c r="AN104" s="43">
        <f t="shared" si="50"/>
        <v>11851.952</v>
      </c>
      <c r="AP104" s="28">
        <f t="shared" si="51"/>
        <v>0.2521825152</v>
      </c>
      <c r="AQ104" s="43">
        <f t="shared" si="52"/>
        <v>2988.85506538967</v>
      </c>
      <c r="AR104" s="43">
        <f t="shared" si="53"/>
        <v>35555.856</v>
      </c>
      <c r="AS104" s="43">
        <f t="shared" si="54"/>
        <v>8966.56519616901</v>
      </c>
      <c r="AT104" s="107">
        <f t="shared" si="55"/>
        <v>0.826295674051554</v>
      </c>
      <c r="AU104" s="107">
        <f t="shared" si="56"/>
        <v>0.843843750027352</v>
      </c>
    </row>
    <row r="105" spans="1:47">
      <c r="A105" s="25">
        <v>53</v>
      </c>
      <c r="B105" s="26">
        <v>106569</v>
      </c>
      <c r="C105" s="27" t="s">
        <v>145</v>
      </c>
      <c r="D105" s="26" t="s">
        <v>37</v>
      </c>
      <c r="E105" s="25">
        <v>6000</v>
      </c>
      <c r="F105" s="28">
        <v>0.3253</v>
      </c>
      <c r="G105" s="25">
        <f t="shared" si="31"/>
        <v>1951.8</v>
      </c>
      <c r="H105" s="29">
        <f>VLOOKUP(B105,[3]Sheet2!$A:$C,3,0)</f>
        <v>2</v>
      </c>
      <c r="J105" s="30">
        <f>VLOOKUP(B105,[1]查询时间段分门店销售汇总!$D:$L,9,0)</f>
        <v>22947.63</v>
      </c>
      <c r="K105" s="30">
        <f>VLOOKUP(B105,[1]查询时间段分门店销售汇总!$D:$M,10,0)</f>
        <v>8190.03</v>
      </c>
      <c r="L105" s="31">
        <f>E105*1.45</f>
        <v>8700</v>
      </c>
      <c r="M105" s="32">
        <v>0.3041555</v>
      </c>
      <c r="N105" s="37">
        <f t="shared" si="32"/>
        <v>2646.15285</v>
      </c>
      <c r="O105" s="37">
        <f t="shared" si="33"/>
        <v>34800</v>
      </c>
      <c r="P105" s="37">
        <f t="shared" si="34"/>
        <v>10584.6114</v>
      </c>
      <c r="Q105" s="81">
        <f t="shared" si="35"/>
        <v>0.659414655172414</v>
      </c>
      <c r="R105" s="81">
        <f t="shared" si="36"/>
        <v>0.773767660473581</v>
      </c>
      <c r="S105" s="82">
        <f t="shared" si="37"/>
        <v>10005</v>
      </c>
      <c r="T105" s="83"/>
      <c r="U105" s="82">
        <f t="shared" si="58"/>
        <v>-118.5237</v>
      </c>
      <c r="V105" s="84">
        <f t="shared" si="59"/>
        <v>-59.26185</v>
      </c>
      <c r="W105" s="32">
        <f t="shared" si="38"/>
        <v>0.28590617</v>
      </c>
      <c r="X105" s="37">
        <f t="shared" si="39"/>
        <v>2860.49123085</v>
      </c>
      <c r="Y105" s="38">
        <f t="shared" si="40"/>
        <v>40020</v>
      </c>
      <c r="Z105" s="38">
        <f t="shared" si="41"/>
        <v>11441.9649234</v>
      </c>
      <c r="AA105" s="81">
        <f t="shared" si="42"/>
        <v>0.573404047976012</v>
      </c>
      <c r="AB105" s="81">
        <f t="shared" si="43"/>
        <v>0.71578877009582</v>
      </c>
      <c r="AC105" s="71"/>
      <c r="AD105" s="71"/>
      <c r="AE105" s="98">
        <f>VLOOKUP(B105,[2]查询时间段分门店销售汇总!$D:$L,9,0)</f>
        <v>16582.03</v>
      </c>
      <c r="AF105" s="98">
        <f>VLOOKUP(B105,[2]查询时间段分门店销售汇总!$D:$M,10,0)</f>
        <v>4844.88</v>
      </c>
      <c r="AG105" s="41">
        <f t="shared" si="44"/>
        <v>7743</v>
      </c>
      <c r="AH105" s="28">
        <v>0.3087178325</v>
      </c>
      <c r="AI105" s="43">
        <f t="shared" si="45"/>
        <v>2390.4021770475</v>
      </c>
      <c r="AJ105" s="43">
        <f t="shared" si="46"/>
        <v>23229</v>
      </c>
      <c r="AK105" s="43">
        <f t="shared" si="47"/>
        <v>7171.2065311425</v>
      </c>
      <c r="AL105" s="28">
        <f t="shared" si="48"/>
        <v>0.713850359464463</v>
      </c>
      <c r="AM105" s="28">
        <f t="shared" si="49"/>
        <v>0.675601794336849</v>
      </c>
      <c r="AN105" s="43">
        <f t="shared" si="50"/>
        <v>8981.88</v>
      </c>
      <c r="AP105" s="28">
        <f t="shared" si="51"/>
        <v>0.2963691192</v>
      </c>
      <c r="AQ105" s="43">
        <f t="shared" si="52"/>
        <v>2661.9518643601</v>
      </c>
      <c r="AR105" s="43">
        <f t="shared" si="53"/>
        <v>26945.64</v>
      </c>
      <c r="AS105" s="43">
        <f t="shared" si="54"/>
        <v>7985.85559308029</v>
      </c>
      <c r="AT105" s="107">
        <f t="shared" si="55"/>
        <v>0.61538824091764</v>
      </c>
      <c r="AU105" s="107">
        <f t="shared" si="56"/>
        <v>0.606682645776624</v>
      </c>
    </row>
    <row r="106" spans="1:47">
      <c r="A106" s="25">
        <v>140</v>
      </c>
      <c r="B106" s="26">
        <v>122686</v>
      </c>
      <c r="C106" s="27" t="s">
        <v>146</v>
      </c>
      <c r="D106" s="26" t="s">
        <v>61</v>
      </c>
      <c r="E106" s="25">
        <v>1500</v>
      </c>
      <c r="F106" s="28">
        <v>0.29</v>
      </c>
      <c r="G106" s="25">
        <f t="shared" si="31"/>
        <v>435</v>
      </c>
      <c r="H106" s="29">
        <f>VLOOKUP(B106,[3]Sheet2!$A:$C,3,0)</f>
        <v>2</v>
      </c>
      <c r="J106" s="30">
        <f>VLOOKUP(B106,[1]查询时间段分门店销售汇总!$D:$L,9,0)</f>
        <v>7904.96</v>
      </c>
      <c r="K106" s="30">
        <f>VLOOKUP(B106,[1]查询时间段分门店销售汇总!$D:$M,10,0)</f>
        <v>2400.2</v>
      </c>
      <c r="L106" s="31">
        <v>3000</v>
      </c>
      <c r="M106" s="32">
        <v>0.27115</v>
      </c>
      <c r="N106" s="37">
        <f t="shared" si="32"/>
        <v>813.45</v>
      </c>
      <c r="O106" s="37">
        <f t="shared" si="33"/>
        <v>12000</v>
      </c>
      <c r="P106" s="37">
        <f t="shared" si="34"/>
        <v>3253.8</v>
      </c>
      <c r="Q106" s="81">
        <f t="shared" si="35"/>
        <v>0.658746666666667</v>
      </c>
      <c r="R106" s="81">
        <f t="shared" si="36"/>
        <v>0.737660581473969</v>
      </c>
      <c r="S106" s="82">
        <f t="shared" si="37"/>
        <v>3450</v>
      </c>
      <c r="T106" s="83"/>
      <c r="U106" s="82">
        <f t="shared" si="58"/>
        <v>-40.9504</v>
      </c>
      <c r="V106" s="84">
        <f t="shared" si="59"/>
        <v>-20.4752</v>
      </c>
      <c r="W106" s="32">
        <f t="shared" si="38"/>
        <v>0.254881</v>
      </c>
      <c r="X106" s="37">
        <f t="shared" si="39"/>
        <v>879.33945</v>
      </c>
      <c r="Y106" s="38">
        <f t="shared" si="40"/>
        <v>13800</v>
      </c>
      <c r="Z106" s="38">
        <f t="shared" si="41"/>
        <v>3517.3578</v>
      </c>
      <c r="AA106" s="81">
        <f t="shared" si="42"/>
        <v>0.572823188405797</v>
      </c>
      <c r="AB106" s="81">
        <f t="shared" si="43"/>
        <v>0.682387216904689</v>
      </c>
      <c r="AC106" s="71"/>
      <c r="AD106" s="71"/>
      <c r="AE106" s="98">
        <f>VLOOKUP(B106,[2]查询时间段分门店销售汇总!$D:$L,9,0)</f>
        <v>6772.63</v>
      </c>
      <c r="AF106" s="98">
        <f>VLOOKUP(B106,[2]查询时间段分门店销售汇总!$D:$M,10,0)</f>
        <v>1847.49</v>
      </c>
      <c r="AG106" s="41">
        <f t="shared" si="44"/>
        <v>2670</v>
      </c>
      <c r="AH106" s="28">
        <v>0.27521725</v>
      </c>
      <c r="AI106" s="43">
        <f t="shared" si="45"/>
        <v>734.8300575</v>
      </c>
      <c r="AJ106" s="43">
        <f t="shared" si="46"/>
        <v>8010</v>
      </c>
      <c r="AK106" s="43">
        <f t="shared" si="47"/>
        <v>2204.4901725</v>
      </c>
      <c r="AL106" s="28">
        <f t="shared" si="48"/>
        <v>0.845521847690387</v>
      </c>
      <c r="AM106" s="28">
        <f t="shared" si="49"/>
        <v>0.838057716494538</v>
      </c>
      <c r="AN106" s="43">
        <f t="shared" si="50"/>
        <v>3097.2</v>
      </c>
      <c r="AP106" s="28">
        <f t="shared" si="51"/>
        <v>0.26420856</v>
      </c>
      <c r="AQ106" s="43">
        <f t="shared" si="52"/>
        <v>818.306752032</v>
      </c>
      <c r="AR106" s="43">
        <f t="shared" si="53"/>
        <v>9291.6</v>
      </c>
      <c r="AS106" s="43">
        <f t="shared" si="54"/>
        <v>2454.920256096</v>
      </c>
      <c r="AT106" s="107">
        <f t="shared" si="55"/>
        <v>0.728898144560679</v>
      </c>
      <c r="AU106" s="107">
        <f t="shared" si="56"/>
        <v>0.752566196564779</v>
      </c>
    </row>
    <row r="107" spans="1:47">
      <c r="A107" s="25">
        <v>107</v>
      </c>
      <c r="B107" s="26">
        <v>339</v>
      </c>
      <c r="C107" s="27" t="s">
        <v>147</v>
      </c>
      <c r="D107" s="26" t="s">
        <v>65</v>
      </c>
      <c r="E107" s="25">
        <v>3600</v>
      </c>
      <c r="F107" s="28">
        <v>0.2885</v>
      </c>
      <c r="G107" s="25">
        <f t="shared" si="31"/>
        <v>1038.6</v>
      </c>
      <c r="H107" s="29">
        <f>VLOOKUP(B107,[3]Sheet2!$A:$C,3,0)</f>
        <v>2</v>
      </c>
      <c r="J107" s="30">
        <f>VLOOKUP(B107,[1]查询时间段分门店销售汇总!$D:$L,9,0)</f>
        <v>15167.67</v>
      </c>
      <c r="K107" s="30">
        <f>VLOOKUP(B107,[1]查询时间段分门店销售汇总!$D:$M,10,0)</f>
        <v>4154.45</v>
      </c>
      <c r="L107" s="31">
        <f>E107*1.6</f>
        <v>5760</v>
      </c>
      <c r="M107" s="32">
        <v>0.2697475</v>
      </c>
      <c r="N107" s="37">
        <f t="shared" si="32"/>
        <v>1553.7456</v>
      </c>
      <c r="O107" s="37">
        <f t="shared" si="33"/>
        <v>23040</v>
      </c>
      <c r="P107" s="37">
        <f t="shared" si="34"/>
        <v>6214.9824</v>
      </c>
      <c r="Q107" s="81">
        <f t="shared" si="35"/>
        <v>0.658319010416667</v>
      </c>
      <c r="R107" s="81">
        <f t="shared" si="36"/>
        <v>0.668457242936038</v>
      </c>
      <c r="S107" s="82">
        <f t="shared" si="37"/>
        <v>6624</v>
      </c>
      <c r="T107" s="83"/>
      <c r="U107" s="82">
        <f t="shared" si="58"/>
        <v>-78.7233</v>
      </c>
      <c r="V107" s="84">
        <f t="shared" si="59"/>
        <v>-39.36165</v>
      </c>
      <c r="W107" s="32">
        <f t="shared" si="38"/>
        <v>0.25356265</v>
      </c>
      <c r="X107" s="37">
        <f t="shared" si="39"/>
        <v>1679.5989936</v>
      </c>
      <c r="Y107" s="38">
        <f t="shared" si="40"/>
        <v>26496</v>
      </c>
      <c r="Z107" s="38">
        <f t="shared" si="41"/>
        <v>6718.3959744</v>
      </c>
      <c r="AA107" s="81">
        <f t="shared" si="42"/>
        <v>0.572451313405797</v>
      </c>
      <c r="AB107" s="81">
        <f t="shared" si="43"/>
        <v>0.618369327415391</v>
      </c>
      <c r="AC107" s="71"/>
      <c r="AD107" s="71"/>
      <c r="AE107" s="98">
        <f>VLOOKUP(B107,[2]查询时间段分门店销售汇总!$D:$L,9,0)</f>
        <v>9563.36</v>
      </c>
      <c r="AF107" s="98">
        <f>VLOOKUP(B107,[2]查询时间段分门店销售汇总!$D:$M,10,0)</f>
        <v>2682.17</v>
      </c>
      <c r="AG107" s="41">
        <f t="shared" si="44"/>
        <v>5126.4</v>
      </c>
      <c r="AH107" s="28">
        <v>0.2737937125</v>
      </c>
      <c r="AI107" s="43">
        <f t="shared" si="45"/>
        <v>1403.57608776</v>
      </c>
      <c r="AJ107" s="43">
        <f t="shared" si="46"/>
        <v>15379.2</v>
      </c>
      <c r="AK107" s="43">
        <f t="shared" si="47"/>
        <v>4210.72826328</v>
      </c>
      <c r="AL107" s="28">
        <f t="shared" si="48"/>
        <v>0.621837286724927</v>
      </c>
      <c r="AM107" s="28">
        <f t="shared" si="49"/>
        <v>0.636984823596926</v>
      </c>
      <c r="AN107" s="43">
        <f t="shared" si="50"/>
        <v>5946.624</v>
      </c>
      <c r="AP107" s="28">
        <f t="shared" si="51"/>
        <v>0.262841964</v>
      </c>
      <c r="AQ107" s="43">
        <f t="shared" si="52"/>
        <v>1563.02233132954</v>
      </c>
      <c r="AR107" s="43">
        <f t="shared" si="53"/>
        <v>17839.872</v>
      </c>
      <c r="AS107" s="43">
        <f t="shared" si="54"/>
        <v>4689.06699398861</v>
      </c>
      <c r="AT107" s="107">
        <f t="shared" si="55"/>
        <v>0.536066626487006</v>
      </c>
      <c r="AU107" s="107">
        <f t="shared" si="56"/>
        <v>0.5720050499254</v>
      </c>
    </row>
    <row r="108" spans="1:47">
      <c r="A108" s="25">
        <v>100</v>
      </c>
      <c r="B108" s="26">
        <v>740</v>
      </c>
      <c r="C108" s="27" t="s">
        <v>148</v>
      </c>
      <c r="D108" s="26" t="s">
        <v>51</v>
      </c>
      <c r="E108" s="25">
        <v>3800</v>
      </c>
      <c r="F108" s="28">
        <v>0.3475</v>
      </c>
      <c r="G108" s="25">
        <f t="shared" si="31"/>
        <v>1320.5</v>
      </c>
      <c r="H108" s="29">
        <f>VLOOKUP(B108,[3]Sheet2!$A:$C,3,0)</f>
        <v>2</v>
      </c>
      <c r="J108" s="30">
        <f>VLOOKUP(B108,[1]查询时间段分门店销售汇总!$D:$L,9,0)</f>
        <v>16005.38</v>
      </c>
      <c r="K108" s="30">
        <f>VLOOKUP(B108,[1]查询时间段分门店销售汇总!$D:$M,10,0)</f>
        <v>5378.56</v>
      </c>
      <c r="L108" s="31">
        <f>E108*1.6</f>
        <v>6080</v>
      </c>
      <c r="M108" s="32">
        <v>0.31</v>
      </c>
      <c r="N108" s="37">
        <f t="shared" si="32"/>
        <v>1884.8</v>
      </c>
      <c r="O108" s="37">
        <f t="shared" si="33"/>
        <v>24320</v>
      </c>
      <c r="P108" s="37">
        <f t="shared" si="34"/>
        <v>7539.2</v>
      </c>
      <c r="Q108" s="81">
        <f t="shared" si="35"/>
        <v>0.658115953947368</v>
      </c>
      <c r="R108" s="81">
        <f t="shared" si="36"/>
        <v>0.713412563667233</v>
      </c>
      <c r="S108" s="82">
        <f t="shared" si="37"/>
        <v>6992</v>
      </c>
      <c r="T108" s="83"/>
      <c r="U108" s="82">
        <f t="shared" si="58"/>
        <v>-83.1462</v>
      </c>
      <c r="V108" s="84">
        <f t="shared" si="59"/>
        <v>-41.5731</v>
      </c>
      <c r="W108" s="32">
        <f t="shared" si="38"/>
        <v>0.2914</v>
      </c>
      <c r="X108" s="37">
        <f t="shared" si="39"/>
        <v>2037.4688</v>
      </c>
      <c r="Y108" s="38">
        <f t="shared" si="40"/>
        <v>27968</v>
      </c>
      <c r="Z108" s="38">
        <f t="shared" si="41"/>
        <v>8149.8752</v>
      </c>
      <c r="AA108" s="81">
        <f t="shared" si="42"/>
        <v>0.572274742562929</v>
      </c>
      <c r="AB108" s="81">
        <f t="shared" si="43"/>
        <v>0.659956118101048</v>
      </c>
      <c r="AC108" s="71"/>
      <c r="AD108" s="71"/>
      <c r="AE108" s="98">
        <f>VLOOKUP(B108,[2]查询时间段分门店销售汇总!$D:$L,9,0)</f>
        <v>15072.16</v>
      </c>
      <c r="AF108" s="98">
        <f>VLOOKUP(B108,[2]查询时间段分门店销售汇总!$D:$M,10,0)</f>
        <v>4545.92</v>
      </c>
      <c r="AG108" s="41">
        <f t="shared" si="44"/>
        <v>5411.2</v>
      </c>
      <c r="AH108" s="28">
        <v>0.31465</v>
      </c>
      <c r="AI108" s="43">
        <f t="shared" si="45"/>
        <v>1702.63408</v>
      </c>
      <c r="AJ108" s="43">
        <f t="shared" si="46"/>
        <v>16233.6</v>
      </c>
      <c r="AK108" s="43">
        <f t="shared" si="47"/>
        <v>5107.90224</v>
      </c>
      <c r="AL108" s="28">
        <f t="shared" si="48"/>
        <v>0.928454563374729</v>
      </c>
      <c r="AM108" s="28">
        <f t="shared" si="49"/>
        <v>0.88997787866825</v>
      </c>
      <c r="AN108" s="43">
        <f t="shared" si="50"/>
        <v>6276.992</v>
      </c>
      <c r="AP108" s="28">
        <f t="shared" si="51"/>
        <v>0.302064</v>
      </c>
      <c r="AQ108" s="43">
        <f t="shared" si="52"/>
        <v>1896.053311488</v>
      </c>
      <c r="AR108" s="43">
        <f t="shared" si="53"/>
        <v>18830.976</v>
      </c>
      <c r="AS108" s="43">
        <f t="shared" si="54"/>
        <v>5688.159934464</v>
      </c>
      <c r="AT108" s="107">
        <f t="shared" si="55"/>
        <v>0.800391864978215</v>
      </c>
      <c r="AU108" s="107">
        <f t="shared" si="56"/>
        <v>0.799189905413299</v>
      </c>
    </row>
    <row r="109" spans="1:47">
      <c r="A109" s="25">
        <v>59</v>
      </c>
      <c r="B109" s="26">
        <v>515</v>
      </c>
      <c r="C109" s="27" t="s">
        <v>149</v>
      </c>
      <c r="D109" s="26" t="s">
        <v>42</v>
      </c>
      <c r="E109" s="25">
        <v>5600</v>
      </c>
      <c r="F109" s="28">
        <v>0.3212</v>
      </c>
      <c r="G109" s="25">
        <f t="shared" si="31"/>
        <v>1798.72</v>
      </c>
      <c r="H109" s="29">
        <f>VLOOKUP(B109,[3]Sheet2!$A:$C,3,0)</f>
        <v>2</v>
      </c>
      <c r="I109" s="25">
        <f>VLOOKUP(B109,[3]实习生!$A:$C,3,0)</f>
        <v>1</v>
      </c>
      <c r="J109" s="30">
        <f>VLOOKUP(B109,[1]查询时间段分门店销售汇总!$D:$L,9,0)</f>
        <v>21996.11</v>
      </c>
      <c r="K109" s="30">
        <f>VLOOKUP(B109,[1]查询时间段分门店销售汇总!$D:$M,10,0)</f>
        <v>6161.3</v>
      </c>
      <c r="L109" s="31">
        <f>E109*1.5</f>
        <v>8400</v>
      </c>
      <c r="M109" s="32">
        <v>0.300322</v>
      </c>
      <c r="N109" s="37">
        <f t="shared" si="32"/>
        <v>2522.7048</v>
      </c>
      <c r="O109" s="37">
        <f t="shared" si="33"/>
        <v>33600</v>
      </c>
      <c r="P109" s="37">
        <f t="shared" si="34"/>
        <v>10090.8192</v>
      </c>
      <c r="Q109" s="81">
        <f t="shared" si="35"/>
        <v>0.654646130952381</v>
      </c>
      <c r="R109" s="81">
        <f t="shared" si="36"/>
        <v>0.61058471843396</v>
      </c>
      <c r="S109" s="82">
        <f t="shared" si="37"/>
        <v>9660</v>
      </c>
      <c r="T109" s="83"/>
      <c r="U109" s="82">
        <f t="shared" si="58"/>
        <v>-116.0389</v>
      </c>
      <c r="V109" s="84">
        <f t="shared" si="59"/>
        <v>-58.01945</v>
      </c>
      <c r="W109" s="32">
        <f t="shared" si="38"/>
        <v>0.28230268</v>
      </c>
      <c r="X109" s="37">
        <f t="shared" si="39"/>
        <v>2727.0438888</v>
      </c>
      <c r="Y109" s="38">
        <f t="shared" si="40"/>
        <v>38640</v>
      </c>
      <c r="Z109" s="38">
        <f t="shared" si="41"/>
        <v>10908.1755552</v>
      </c>
      <c r="AA109" s="81">
        <f t="shared" si="42"/>
        <v>0.569257505175984</v>
      </c>
      <c r="AB109" s="81">
        <f t="shared" si="43"/>
        <v>0.564833227043442</v>
      </c>
      <c r="AC109" s="71"/>
      <c r="AD109" s="71"/>
      <c r="AE109" s="98">
        <f>VLOOKUP(B109,[2]查询时间段分门店销售汇总!$D:$L,9,0)</f>
        <v>18924.14</v>
      </c>
      <c r="AF109" s="98">
        <f>VLOOKUP(B109,[2]查询时间段分门店销售汇总!$D:$M,10,0)</f>
        <v>5143.1</v>
      </c>
      <c r="AG109" s="41">
        <f t="shared" si="44"/>
        <v>7476</v>
      </c>
      <c r="AH109" s="28">
        <v>0.30482683</v>
      </c>
      <c r="AI109" s="43">
        <f t="shared" si="45"/>
        <v>2278.88538108</v>
      </c>
      <c r="AJ109" s="43">
        <f t="shared" si="46"/>
        <v>22428</v>
      </c>
      <c r="AK109" s="43">
        <f t="shared" si="47"/>
        <v>6836.65614324</v>
      </c>
      <c r="AL109" s="28">
        <f t="shared" si="48"/>
        <v>0.843772962368468</v>
      </c>
      <c r="AM109" s="28">
        <f t="shared" si="49"/>
        <v>0.752282971710583</v>
      </c>
      <c r="AN109" s="43">
        <f t="shared" si="50"/>
        <v>8672.16</v>
      </c>
      <c r="AP109" s="28">
        <f t="shared" si="51"/>
        <v>0.2926337568</v>
      </c>
      <c r="AQ109" s="43">
        <f t="shared" si="52"/>
        <v>2537.76676037069</v>
      </c>
      <c r="AR109" s="43">
        <f t="shared" si="53"/>
        <v>26016.48</v>
      </c>
      <c r="AS109" s="43">
        <f t="shared" si="54"/>
        <v>7613.30028111206</v>
      </c>
      <c r="AT109" s="107">
        <f t="shared" si="55"/>
        <v>0.727390484800403</v>
      </c>
      <c r="AU109" s="107">
        <f t="shared" si="56"/>
        <v>0.675541461665394</v>
      </c>
    </row>
    <row r="110" spans="1:47">
      <c r="A110" s="25">
        <v>113</v>
      </c>
      <c r="B110" s="26">
        <v>104429</v>
      </c>
      <c r="C110" s="27" t="s">
        <v>150</v>
      </c>
      <c r="D110" s="26" t="s">
        <v>39</v>
      </c>
      <c r="E110" s="25">
        <v>3500</v>
      </c>
      <c r="F110" s="28">
        <v>0.2279</v>
      </c>
      <c r="G110" s="25">
        <f t="shared" si="31"/>
        <v>797.65</v>
      </c>
      <c r="H110" s="29">
        <f>VLOOKUP(B110,[3]Sheet2!$A:$C,3,0)</f>
        <v>2</v>
      </c>
      <c r="J110" s="30">
        <f>VLOOKUP(B110,[1]查询时间段分门店销售汇总!$D:$L,9,0)</f>
        <v>14646.98</v>
      </c>
      <c r="K110" s="30">
        <f>VLOOKUP(B110,[1]查询时间段分门店销售汇总!$D:$M,10,0)</f>
        <v>3646.83</v>
      </c>
      <c r="L110" s="31">
        <f>E110*1.6</f>
        <v>5600</v>
      </c>
      <c r="M110" s="32">
        <v>0.2130865</v>
      </c>
      <c r="N110" s="37">
        <f t="shared" si="32"/>
        <v>1193.2844</v>
      </c>
      <c r="O110" s="37">
        <f t="shared" si="33"/>
        <v>22400</v>
      </c>
      <c r="P110" s="37">
        <f t="shared" si="34"/>
        <v>4773.1376</v>
      </c>
      <c r="Q110" s="81">
        <f t="shared" si="35"/>
        <v>0.653883035714286</v>
      </c>
      <c r="R110" s="81">
        <f t="shared" si="36"/>
        <v>0.764032027905502</v>
      </c>
      <c r="S110" s="82">
        <f t="shared" si="37"/>
        <v>6440</v>
      </c>
      <c r="T110" s="83"/>
      <c r="U110" s="82">
        <f t="shared" si="58"/>
        <v>-77.5302</v>
      </c>
      <c r="V110" s="84">
        <f t="shared" si="59"/>
        <v>-38.7651</v>
      </c>
      <c r="W110" s="32">
        <f t="shared" si="38"/>
        <v>0.20030131</v>
      </c>
      <c r="X110" s="37">
        <f t="shared" si="39"/>
        <v>1289.9404364</v>
      </c>
      <c r="Y110" s="38">
        <f t="shared" si="40"/>
        <v>25760</v>
      </c>
      <c r="Z110" s="38">
        <f t="shared" si="41"/>
        <v>5159.7617456</v>
      </c>
      <c r="AA110" s="81">
        <f t="shared" si="42"/>
        <v>0.568593944099379</v>
      </c>
      <c r="AB110" s="81">
        <f t="shared" si="43"/>
        <v>0.706782634510177</v>
      </c>
      <c r="AC110" s="71"/>
      <c r="AD110" s="71"/>
      <c r="AE110" s="98">
        <f>VLOOKUP(B110,[2]查询时间段分门店销售汇总!$D:$L,9,0)</f>
        <v>12011.81</v>
      </c>
      <c r="AF110" s="98">
        <f>VLOOKUP(B110,[2]查询时间段分门店销售汇总!$D:$M,10,0)</f>
        <v>2629.38</v>
      </c>
      <c r="AG110" s="41">
        <f t="shared" si="44"/>
        <v>4984</v>
      </c>
      <c r="AH110" s="28">
        <v>0.2162827975</v>
      </c>
      <c r="AI110" s="43">
        <f t="shared" si="45"/>
        <v>1077.95346274</v>
      </c>
      <c r="AJ110" s="43">
        <f t="shared" si="46"/>
        <v>14952</v>
      </c>
      <c r="AK110" s="43">
        <f t="shared" si="47"/>
        <v>3233.86038822</v>
      </c>
      <c r="AL110" s="28">
        <f t="shared" si="48"/>
        <v>0.803358079186731</v>
      </c>
      <c r="AM110" s="28">
        <f t="shared" si="49"/>
        <v>0.813077772181525</v>
      </c>
      <c r="AN110" s="43">
        <f t="shared" si="50"/>
        <v>5781.44</v>
      </c>
      <c r="AP110" s="28">
        <f t="shared" si="51"/>
        <v>0.2076314856</v>
      </c>
      <c r="AQ110" s="43">
        <f t="shared" si="52"/>
        <v>1200.40897610726</v>
      </c>
      <c r="AR110" s="43">
        <f t="shared" si="53"/>
        <v>17344.32</v>
      </c>
      <c r="AS110" s="43">
        <f t="shared" si="54"/>
        <v>3601.22692832179</v>
      </c>
      <c r="AT110" s="107">
        <f t="shared" si="55"/>
        <v>0.692550068264423</v>
      </c>
      <c r="AU110" s="107">
        <f t="shared" si="56"/>
        <v>0.73013449369749</v>
      </c>
    </row>
    <row r="111" spans="1:47">
      <c r="A111" s="25">
        <v>36</v>
      </c>
      <c r="B111" s="26">
        <v>513</v>
      </c>
      <c r="C111" s="27" t="s">
        <v>151</v>
      </c>
      <c r="D111" s="26" t="s">
        <v>37</v>
      </c>
      <c r="E111" s="25">
        <v>7000</v>
      </c>
      <c r="F111" s="28">
        <v>0.3321</v>
      </c>
      <c r="G111" s="25">
        <f t="shared" si="31"/>
        <v>2324.7</v>
      </c>
      <c r="H111" s="29">
        <f>VLOOKUP(B111,[3]Sheet2!$A:$C,3,0)</f>
        <v>3</v>
      </c>
      <c r="I111" s="25">
        <f>VLOOKUP(B111,[3]实习生!$A:$C,3,0)</f>
        <v>1</v>
      </c>
      <c r="J111" s="30">
        <f>VLOOKUP(B111,[1]查询时间段分门店销售汇总!$D:$L,9,0)</f>
        <v>26450.99</v>
      </c>
      <c r="K111" s="30">
        <f>VLOOKUP(B111,[1]查询时间段分门店销售汇总!$D:$M,10,0)</f>
        <v>7429.5</v>
      </c>
      <c r="L111" s="31">
        <f>E111*1.45</f>
        <v>10150</v>
      </c>
      <c r="M111" s="32">
        <v>0.3105135</v>
      </c>
      <c r="N111" s="37">
        <f t="shared" si="32"/>
        <v>3151.712025</v>
      </c>
      <c r="O111" s="37">
        <f t="shared" si="33"/>
        <v>40600</v>
      </c>
      <c r="P111" s="37">
        <f t="shared" si="34"/>
        <v>12606.8481</v>
      </c>
      <c r="Q111" s="81">
        <f t="shared" si="35"/>
        <v>0.651502216748769</v>
      </c>
      <c r="R111" s="81">
        <f t="shared" si="36"/>
        <v>0.589322560331317</v>
      </c>
      <c r="S111" s="82">
        <f t="shared" si="37"/>
        <v>11672.5</v>
      </c>
      <c r="T111" s="83"/>
      <c r="U111" s="82">
        <f t="shared" si="58"/>
        <v>-141.4901</v>
      </c>
      <c r="V111" s="84">
        <f t="shared" si="59"/>
        <v>-70.74505</v>
      </c>
      <c r="W111" s="32">
        <f t="shared" si="38"/>
        <v>0.29188269</v>
      </c>
      <c r="X111" s="37">
        <f t="shared" si="39"/>
        <v>3407.000699025</v>
      </c>
      <c r="Y111" s="38">
        <f t="shared" si="40"/>
        <v>46690</v>
      </c>
      <c r="Z111" s="38">
        <f t="shared" si="41"/>
        <v>13628.0027961</v>
      </c>
      <c r="AA111" s="81">
        <f t="shared" si="42"/>
        <v>0.56652366673806</v>
      </c>
      <c r="AB111" s="81">
        <f t="shared" si="43"/>
        <v>0.54516425562564</v>
      </c>
      <c r="AC111" s="71"/>
      <c r="AD111" s="71"/>
      <c r="AE111" s="98">
        <f>VLOOKUP(B111,[2]查询时间段分门店销售汇总!$D:$L,9,0)</f>
        <v>20545.74</v>
      </c>
      <c r="AF111" s="98">
        <f>VLOOKUP(B111,[2]查询时间段分门店销售汇总!$D:$M,10,0)</f>
        <v>5905.68</v>
      </c>
      <c r="AG111" s="41">
        <f t="shared" si="44"/>
        <v>9033.5</v>
      </c>
      <c r="AH111" s="28">
        <v>0.3151712025</v>
      </c>
      <c r="AI111" s="43">
        <f t="shared" si="45"/>
        <v>2847.09905778375</v>
      </c>
      <c r="AJ111" s="43">
        <f t="shared" si="46"/>
        <v>27100.5</v>
      </c>
      <c r="AK111" s="43">
        <f t="shared" si="47"/>
        <v>8541.29717335125</v>
      </c>
      <c r="AL111" s="28">
        <f t="shared" si="48"/>
        <v>0.758131399789672</v>
      </c>
      <c r="AM111" s="28">
        <f t="shared" si="49"/>
        <v>0.691426592488276</v>
      </c>
      <c r="AN111" s="43">
        <f t="shared" si="50"/>
        <v>10478.86</v>
      </c>
      <c r="AP111" s="28">
        <f t="shared" si="51"/>
        <v>0.3025643544</v>
      </c>
      <c r="AQ111" s="43">
        <f t="shared" si="52"/>
        <v>3170.52951074798</v>
      </c>
      <c r="AR111" s="43">
        <f t="shared" si="53"/>
        <v>31436.58</v>
      </c>
      <c r="AS111" s="43">
        <f t="shared" si="54"/>
        <v>9511.58853224395</v>
      </c>
      <c r="AT111" s="107">
        <f t="shared" si="55"/>
        <v>0.653561551542821</v>
      </c>
      <c r="AU111" s="107">
        <f t="shared" si="56"/>
        <v>0.620893132622374</v>
      </c>
    </row>
    <row r="112" spans="1:47">
      <c r="A112" s="25">
        <v>38</v>
      </c>
      <c r="B112" s="26">
        <v>709</v>
      </c>
      <c r="C112" s="27" t="s">
        <v>152</v>
      </c>
      <c r="D112" s="26" t="s">
        <v>65</v>
      </c>
      <c r="E112" s="25">
        <v>6800</v>
      </c>
      <c r="F112" s="28">
        <v>0.31</v>
      </c>
      <c r="G112" s="25">
        <f t="shared" si="31"/>
        <v>2108</v>
      </c>
      <c r="H112" s="29">
        <f>VLOOKUP(B112,[3]Sheet2!$A:$C,3,0)</f>
        <v>2</v>
      </c>
      <c r="I112" s="25">
        <f>VLOOKUP(B112,[3]实习生!$A:$C,3,0)</f>
        <v>1</v>
      </c>
      <c r="J112" s="30">
        <f>VLOOKUP(B112,[1]查询时间段分门店销售汇总!$D:$L,9,0)</f>
        <v>25227.58</v>
      </c>
      <c r="K112" s="30">
        <f>VLOOKUP(B112,[1]查询时间段分门店销售汇总!$D:$M,10,0)</f>
        <v>7728.49</v>
      </c>
      <c r="L112" s="31">
        <f>E112*1.45</f>
        <v>9860</v>
      </c>
      <c r="M112" s="32">
        <v>0.28985</v>
      </c>
      <c r="N112" s="37">
        <f t="shared" si="32"/>
        <v>2857.921</v>
      </c>
      <c r="O112" s="37">
        <f t="shared" si="33"/>
        <v>39440</v>
      </c>
      <c r="P112" s="37">
        <f t="shared" si="34"/>
        <v>11431.684</v>
      </c>
      <c r="Q112" s="81">
        <f t="shared" si="35"/>
        <v>0.639644523326572</v>
      </c>
      <c r="R112" s="81">
        <f t="shared" si="36"/>
        <v>0.676058750399329</v>
      </c>
      <c r="S112" s="82">
        <f t="shared" si="37"/>
        <v>11339</v>
      </c>
      <c r="T112" s="83"/>
      <c r="U112" s="82">
        <f t="shared" si="58"/>
        <v>-142.1242</v>
      </c>
      <c r="V112" s="84">
        <f t="shared" si="59"/>
        <v>-71.0621</v>
      </c>
      <c r="W112" s="32">
        <f t="shared" si="38"/>
        <v>0.272459</v>
      </c>
      <c r="X112" s="37">
        <f t="shared" si="39"/>
        <v>3089.412601</v>
      </c>
      <c r="Y112" s="38">
        <f t="shared" si="40"/>
        <v>45356</v>
      </c>
      <c r="Z112" s="38">
        <f t="shared" si="41"/>
        <v>12357.650404</v>
      </c>
      <c r="AA112" s="81">
        <f t="shared" si="42"/>
        <v>0.556212628979628</v>
      </c>
      <c r="AB112" s="81">
        <f t="shared" si="43"/>
        <v>0.62540124921307</v>
      </c>
      <c r="AC112" s="71"/>
      <c r="AD112" s="71"/>
      <c r="AE112" s="98">
        <f>VLOOKUP(B112,[2]查询时间段分门店销售汇总!$D:$L,9,0)</f>
        <v>18599.37</v>
      </c>
      <c r="AF112" s="98">
        <f>VLOOKUP(B112,[2]查询时间段分门店销售汇总!$D:$M,10,0)</f>
        <v>4734.08</v>
      </c>
      <c r="AG112" s="41">
        <f t="shared" si="44"/>
        <v>8775.4</v>
      </c>
      <c r="AH112" s="28">
        <v>0.29419775</v>
      </c>
      <c r="AI112" s="43">
        <f t="shared" si="45"/>
        <v>2581.70293535</v>
      </c>
      <c r="AJ112" s="43">
        <f t="shared" si="46"/>
        <v>26326.2</v>
      </c>
      <c r="AK112" s="43">
        <f t="shared" si="47"/>
        <v>7745.10880605</v>
      </c>
      <c r="AL112" s="28">
        <f t="shared" si="48"/>
        <v>0.706496569956925</v>
      </c>
      <c r="AM112" s="28">
        <f t="shared" si="49"/>
        <v>0.611234795862652</v>
      </c>
      <c r="AN112" s="43">
        <f t="shared" si="50"/>
        <v>10179.464</v>
      </c>
      <c r="AP112" s="28">
        <f t="shared" si="51"/>
        <v>0.28242984</v>
      </c>
      <c r="AQ112" s="43">
        <f t="shared" si="52"/>
        <v>2874.98438880576</v>
      </c>
      <c r="AR112" s="43">
        <f t="shared" si="53"/>
        <v>30538.392</v>
      </c>
      <c r="AS112" s="43">
        <f t="shared" si="54"/>
        <v>8624.95316641728</v>
      </c>
      <c r="AT112" s="107">
        <f t="shared" si="55"/>
        <v>0.609048767204246</v>
      </c>
      <c r="AU112" s="107">
        <f t="shared" si="56"/>
        <v>0.548881820997353</v>
      </c>
    </row>
    <row r="113" spans="1:47">
      <c r="A113" s="25">
        <v>126</v>
      </c>
      <c r="B113" s="26">
        <v>56</v>
      </c>
      <c r="C113" s="27" t="s">
        <v>153</v>
      </c>
      <c r="D113" s="26" t="s">
        <v>53</v>
      </c>
      <c r="E113" s="25">
        <v>3000</v>
      </c>
      <c r="F113" s="28">
        <v>0.3</v>
      </c>
      <c r="G113" s="25">
        <f t="shared" si="31"/>
        <v>900</v>
      </c>
      <c r="H113" s="29">
        <f>VLOOKUP(B113,[3]Sheet2!$A:$C,3,0)</f>
        <v>2</v>
      </c>
      <c r="J113" s="30">
        <f>VLOOKUP(B113,[1]查询时间段分门店销售汇总!$D:$L,9,0)</f>
        <v>12258.79</v>
      </c>
      <c r="K113" s="30">
        <f>VLOOKUP(B113,[1]查询时间段分门店销售汇总!$D:$M,10,0)</f>
        <v>3662.97</v>
      </c>
      <c r="L113" s="31">
        <f>E113*1.6</f>
        <v>4800</v>
      </c>
      <c r="M113" s="32">
        <v>0.2805</v>
      </c>
      <c r="N113" s="37">
        <f t="shared" si="32"/>
        <v>1346.4</v>
      </c>
      <c r="O113" s="37">
        <f t="shared" si="33"/>
        <v>19200</v>
      </c>
      <c r="P113" s="37">
        <f t="shared" si="34"/>
        <v>5385.6</v>
      </c>
      <c r="Q113" s="81">
        <f t="shared" si="35"/>
        <v>0.638478645833333</v>
      </c>
      <c r="R113" s="81">
        <f t="shared" si="36"/>
        <v>0.680141488413547</v>
      </c>
      <c r="S113" s="82">
        <f t="shared" si="37"/>
        <v>5520</v>
      </c>
      <c r="T113" s="83"/>
      <c r="U113" s="82">
        <f t="shared" si="58"/>
        <v>-69.4121</v>
      </c>
      <c r="V113" s="84">
        <f t="shared" si="59"/>
        <v>-34.70605</v>
      </c>
      <c r="W113" s="32">
        <f t="shared" si="38"/>
        <v>0.26367</v>
      </c>
      <c r="X113" s="37">
        <f t="shared" si="39"/>
        <v>1455.4584</v>
      </c>
      <c r="Y113" s="38">
        <f t="shared" si="40"/>
        <v>22080</v>
      </c>
      <c r="Z113" s="38">
        <f t="shared" si="41"/>
        <v>5821.8336</v>
      </c>
      <c r="AA113" s="81">
        <f t="shared" si="42"/>
        <v>0.555198822463768</v>
      </c>
      <c r="AB113" s="81">
        <f t="shared" si="43"/>
        <v>0.629178065137416</v>
      </c>
      <c r="AC113" s="71"/>
      <c r="AD113" s="71"/>
      <c r="AE113" s="98">
        <f>VLOOKUP(B113,[2]查询时间段分门店销售汇总!$D:$L,9,0)</f>
        <v>9539.37</v>
      </c>
      <c r="AF113" s="98">
        <f>VLOOKUP(B113,[2]查询时间段分门店销售汇总!$D:$M,10,0)</f>
        <v>2749.81</v>
      </c>
      <c r="AG113" s="41">
        <f t="shared" si="44"/>
        <v>4272</v>
      </c>
      <c r="AH113" s="28">
        <v>0.2847075</v>
      </c>
      <c r="AI113" s="43">
        <f t="shared" si="45"/>
        <v>1216.27044</v>
      </c>
      <c r="AJ113" s="43">
        <f t="shared" si="46"/>
        <v>12816</v>
      </c>
      <c r="AK113" s="43">
        <f t="shared" si="47"/>
        <v>3648.81132</v>
      </c>
      <c r="AL113" s="28">
        <f t="shared" si="48"/>
        <v>0.744332865168539</v>
      </c>
      <c r="AM113" s="28">
        <f t="shared" si="49"/>
        <v>0.753618030323366</v>
      </c>
      <c r="AN113" s="43">
        <f t="shared" si="50"/>
        <v>4955.52</v>
      </c>
      <c r="AP113" s="28">
        <f t="shared" si="51"/>
        <v>0.2733192</v>
      </c>
      <c r="AQ113" s="43">
        <f t="shared" si="52"/>
        <v>1354.438761984</v>
      </c>
      <c r="AR113" s="43">
        <f t="shared" si="53"/>
        <v>14866.56</v>
      </c>
      <c r="AS113" s="43">
        <f t="shared" si="54"/>
        <v>4063.316285952</v>
      </c>
      <c r="AT113" s="107">
        <f t="shared" si="55"/>
        <v>0.641666263076327</v>
      </c>
      <c r="AU113" s="107">
        <f t="shared" si="56"/>
        <v>0.676740328954172</v>
      </c>
    </row>
    <row r="114" spans="1:48">
      <c r="A114" s="25">
        <v>11</v>
      </c>
      <c r="B114" s="26">
        <v>712</v>
      </c>
      <c r="C114" s="27" t="s">
        <v>154</v>
      </c>
      <c r="D114" s="26" t="s">
        <v>51</v>
      </c>
      <c r="E114" s="25">
        <v>10000</v>
      </c>
      <c r="F114" s="28">
        <v>0.335</v>
      </c>
      <c r="G114" s="25">
        <f t="shared" si="31"/>
        <v>3350</v>
      </c>
      <c r="H114" s="29">
        <f>VLOOKUP(B114,[3]Sheet2!$A:$C,3,0)</f>
        <v>6</v>
      </c>
      <c r="J114" s="30">
        <f>VLOOKUP(B114,[1]查询时间段分门店销售汇总!$D:$L,9,0)</f>
        <v>34283.01</v>
      </c>
      <c r="K114" s="30">
        <f>VLOOKUP(B114,[1]查询时间段分门店销售汇总!$D:$M,10,0)</f>
        <v>11982.88</v>
      </c>
      <c r="L114" s="31">
        <f>E114*1.35</f>
        <v>13500</v>
      </c>
      <c r="M114" s="32">
        <v>0.313225</v>
      </c>
      <c r="N114" s="37">
        <f t="shared" si="32"/>
        <v>4228.5375</v>
      </c>
      <c r="O114" s="37">
        <f t="shared" si="33"/>
        <v>54000</v>
      </c>
      <c r="P114" s="37">
        <f t="shared" si="34"/>
        <v>16914.15</v>
      </c>
      <c r="Q114" s="81">
        <f t="shared" si="35"/>
        <v>0.634870555555556</v>
      </c>
      <c r="R114" s="81">
        <f t="shared" si="36"/>
        <v>0.708452981675106</v>
      </c>
      <c r="S114" s="82">
        <f t="shared" si="37"/>
        <v>15525</v>
      </c>
      <c r="T114" s="83"/>
      <c r="U114" s="82">
        <f t="shared" ref="U114:U146" si="60">(J114-O114)*0.01</f>
        <v>-197.1699</v>
      </c>
      <c r="V114" s="84">
        <f t="shared" si="59"/>
        <v>-98.58495</v>
      </c>
      <c r="W114" s="32">
        <f t="shared" si="38"/>
        <v>0.2944315</v>
      </c>
      <c r="X114" s="37">
        <f t="shared" si="39"/>
        <v>4571.0490375</v>
      </c>
      <c r="Y114" s="38">
        <f t="shared" si="40"/>
        <v>62100</v>
      </c>
      <c r="Z114" s="38">
        <f t="shared" si="41"/>
        <v>18284.19615</v>
      </c>
      <c r="AA114" s="81">
        <f t="shared" si="42"/>
        <v>0.552061352657005</v>
      </c>
      <c r="AB114" s="81">
        <f t="shared" si="43"/>
        <v>0.655368160661523</v>
      </c>
      <c r="AC114" s="71"/>
      <c r="AD114" s="71"/>
      <c r="AE114" s="98">
        <f>VLOOKUP(B114,[2]查询时间段分门店销售汇总!$D:$L,9,0)</f>
        <v>59714.7</v>
      </c>
      <c r="AF114" s="98">
        <f>VLOOKUP(B114,[2]查询时间段分门店销售汇总!$D:$M,10,0)</f>
        <v>14901.86</v>
      </c>
      <c r="AG114" s="41">
        <f t="shared" si="44"/>
        <v>12015</v>
      </c>
      <c r="AH114" s="28">
        <v>0.317923375</v>
      </c>
      <c r="AI114" s="43">
        <f t="shared" si="45"/>
        <v>3819.849350625</v>
      </c>
      <c r="AJ114" s="43">
        <f t="shared" si="46"/>
        <v>36045</v>
      </c>
      <c r="AK114" s="43">
        <f t="shared" si="47"/>
        <v>11459.548051875</v>
      </c>
      <c r="AL114" s="103">
        <f t="shared" si="48"/>
        <v>1.6566708281315</v>
      </c>
      <c r="AM114" s="103">
        <f t="shared" si="49"/>
        <v>1.30038810715243</v>
      </c>
      <c r="AN114" s="43">
        <f t="shared" si="50"/>
        <v>13937.4</v>
      </c>
      <c r="AP114" s="28">
        <f t="shared" si="51"/>
        <v>0.30520644</v>
      </c>
      <c r="AQ114" s="43">
        <f t="shared" si="52"/>
        <v>4253.784236856</v>
      </c>
      <c r="AR114" s="43">
        <f t="shared" si="53"/>
        <v>41812.2</v>
      </c>
      <c r="AS114" s="43">
        <f t="shared" si="54"/>
        <v>12761.352710568</v>
      </c>
      <c r="AT114" s="109">
        <f t="shared" si="55"/>
        <v>1.42816450700992</v>
      </c>
      <c r="AU114" s="109">
        <f t="shared" si="56"/>
        <v>1.16773357323314</v>
      </c>
      <c r="AV114" s="44">
        <f>(AF114-AK114)*0.1</f>
        <v>344.2311948125</v>
      </c>
    </row>
    <row r="115" spans="1:47">
      <c r="A115" s="25">
        <v>109</v>
      </c>
      <c r="B115" s="26">
        <v>732</v>
      </c>
      <c r="C115" s="27" t="s">
        <v>155</v>
      </c>
      <c r="D115" s="26" t="s">
        <v>61</v>
      </c>
      <c r="E115" s="25">
        <v>3500</v>
      </c>
      <c r="F115" s="28">
        <v>0.3054</v>
      </c>
      <c r="G115" s="25">
        <f t="shared" si="31"/>
        <v>1068.9</v>
      </c>
      <c r="H115" s="29">
        <f>VLOOKUP(B115,[3]Sheet2!$A:$C,3,0)</f>
        <v>2</v>
      </c>
      <c r="J115" s="30">
        <f>VLOOKUP(B115,[1]查询时间段分门店销售汇总!$D:$L,9,0)</f>
        <v>14213.28</v>
      </c>
      <c r="K115" s="30">
        <f>VLOOKUP(B115,[1]查询时间段分门店销售汇总!$D:$M,10,0)</f>
        <v>4203.9</v>
      </c>
      <c r="L115" s="31">
        <f>E115*1.6</f>
        <v>5600</v>
      </c>
      <c r="M115" s="32">
        <v>0.285549</v>
      </c>
      <c r="N115" s="37">
        <f t="shared" si="32"/>
        <v>1599.0744</v>
      </c>
      <c r="O115" s="37">
        <f t="shared" si="33"/>
        <v>22400</v>
      </c>
      <c r="P115" s="37">
        <f t="shared" si="34"/>
        <v>6396.2976</v>
      </c>
      <c r="Q115" s="81">
        <f t="shared" si="35"/>
        <v>0.634521428571429</v>
      </c>
      <c r="R115" s="81">
        <f t="shared" si="36"/>
        <v>0.657239588101717</v>
      </c>
      <c r="S115" s="82">
        <f t="shared" si="37"/>
        <v>6440</v>
      </c>
      <c r="T115" s="83"/>
      <c r="U115" s="82">
        <f t="shared" si="60"/>
        <v>-81.8672</v>
      </c>
      <c r="V115" s="84">
        <f t="shared" si="59"/>
        <v>-40.9336</v>
      </c>
      <c r="W115" s="32">
        <f t="shared" si="38"/>
        <v>0.26841606</v>
      </c>
      <c r="X115" s="37">
        <f t="shared" si="39"/>
        <v>1728.5994264</v>
      </c>
      <c r="Y115" s="38">
        <f t="shared" si="40"/>
        <v>25760</v>
      </c>
      <c r="Z115" s="38">
        <f t="shared" si="41"/>
        <v>6914.3977056</v>
      </c>
      <c r="AA115" s="81">
        <f t="shared" si="42"/>
        <v>0.551757763975155</v>
      </c>
      <c r="AB115" s="81">
        <f t="shared" si="43"/>
        <v>0.607992218410469</v>
      </c>
      <c r="AC115" s="71"/>
      <c r="AD115" s="71"/>
      <c r="AE115" s="98">
        <f>VLOOKUP(B115,[2]查询时间段分门店销售汇总!$D:$L,9,0)</f>
        <v>11757.96</v>
      </c>
      <c r="AF115" s="98">
        <f>VLOOKUP(B115,[2]查询时间段分门店销售汇总!$D:$M,10,0)</f>
        <v>3541.17</v>
      </c>
      <c r="AG115" s="41">
        <f t="shared" si="44"/>
        <v>4984</v>
      </c>
      <c r="AH115" s="28">
        <v>0.289832235</v>
      </c>
      <c r="AI115" s="43">
        <f t="shared" si="45"/>
        <v>1444.52385924</v>
      </c>
      <c r="AJ115" s="43">
        <f t="shared" si="46"/>
        <v>14952</v>
      </c>
      <c r="AK115" s="43">
        <f t="shared" si="47"/>
        <v>4333.57157772</v>
      </c>
      <c r="AL115" s="28">
        <f t="shared" si="48"/>
        <v>0.786380417335473</v>
      </c>
      <c r="AM115" s="28">
        <f t="shared" si="49"/>
        <v>0.817148150547706</v>
      </c>
      <c r="AN115" s="43">
        <f t="shared" si="50"/>
        <v>5781.44</v>
      </c>
      <c r="AP115" s="28">
        <f t="shared" si="51"/>
        <v>0.2782389456</v>
      </c>
      <c r="AQ115" s="43">
        <f t="shared" si="52"/>
        <v>1608.62176964966</v>
      </c>
      <c r="AR115" s="43">
        <f t="shared" si="53"/>
        <v>17344.32</v>
      </c>
      <c r="AS115" s="43">
        <f t="shared" si="54"/>
        <v>4825.86530894899</v>
      </c>
      <c r="AT115" s="107">
        <f t="shared" si="55"/>
        <v>0.677914152875408</v>
      </c>
      <c r="AU115" s="107">
        <f t="shared" si="56"/>
        <v>0.733789646684362</v>
      </c>
    </row>
    <row r="116" spans="1:47">
      <c r="A116" s="25">
        <v>29</v>
      </c>
      <c r="B116" s="26">
        <v>108656</v>
      </c>
      <c r="C116" s="27" t="s">
        <v>156</v>
      </c>
      <c r="D116" s="26" t="s">
        <v>59</v>
      </c>
      <c r="E116" s="25">
        <v>7500</v>
      </c>
      <c r="F116" s="28">
        <v>0.2301</v>
      </c>
      <c r="G116" s="25">
        <f t="shared" si="31"/>
        <v>1725.75</v>
      </c>
      <c r="H116" s="29">
        <f>VLOOKUP(B116,[3]Sheet2!$A:$C,3,0)</f>
        <v>2</v>
      </c>
      <c r="J116" s="30">
        <f>VLOOKUP(B116,[1]查询时间段分门店销售汇总!$D:$L,9,0)</f>
        <v>27482.01</v>
      </c>
      <c r="K116" s="30">
        <f>VLOOKUP(B116,[1]查询时间段分门店销售汇总!$D:$M,10,0)</f>
        <v>6296.17</v>
      </c>
      <c r="L116" s="31">
        <f>E116*1.45</f>
        <v>10875</v>
      </c>
      <c r="M116" s="32">
        <v>0.2151435</v>
      </c>
      <c r="N116" s="37">
        <f t="shared" si="32"/>
        <v>2339.6855625</v>
      </c>
      <c r="O116" s="37">
        <f t="shared" si="33"/>
        <v>43500</v>
      </c>
      <c r="P116" s="37">
        <f t="shared" si="34"/>
        <v>9358.74225</v>
      </c>
      <c r="Q116" s="81">
        <f t="shared" si="35"/>
        <v>0.631770344827586</v>
      </c>
      <c r="R116" s="81">
        <f t="shared" si="36"/>
        <v>0.672758136917383</v>
      </c>
      <c r="S116" s="82">
        <f t="shared" si="37"/>
        <v>12506.25</v>
      </c>
      <c r="T116" s="83"/>
      <c r="U116" s="82">
        <f t="shared" si="60"/>
        <v>-160.1799</v>
      </c>
      <c r="V116" s="84">
        <f t="shared" si="59"/>
        <v>-80.08995</v>
      </c>
      <c r="W116" s="32">
        <f t="shared" si="38"/>
        <v>0.20223489</v>
      </c>
      <c r="X116" s="37">
        <f t="shared" si="39"/>
        <v>2529.2000930625</v>
      </c>
      <c r="Y116" s="38">
        <f t="shared" si="40"/>
        <v>50025</v>
      </c>
      <c r="Z116" s="38">
        <f t="shared" si="41"/>
        <v>10116.80037225</v>
      </c>
      <c r="AA116" s="81">
        <f t="shared" si="42"/>
        <v>0.549365517241379</v>
      </c>
      <c r="AB116" s="81">
        <f t="shared" si="43"/>
        <v>0.622347952745036</v>
      </c>
      <c r="AC116" s="71"/>
      <c r="AD116" s="71"/>
      <c r="AE116" s="98">
        <f>VLOOKUP(B116,[2]查询时间段分门店销售汇总!$D:$L,9,0)</f>
        <v>22057.38</v>
      </c>
      <c r="AF116" s="98">
        <f>VLOOKUP(B116,[2]查询时间段分门店销售汇总!$D:$M,10,0)</f>
        <v>5576.52</v>
      </c>
      <c r="AG116" s="41">
        <f t="shared" si="44"/>
        <v>9678.75</v>
      </c>
      <c r="AH116" s="28">
        <v>0.2183706525</v>
      </c>
      <c r="AI116" s="43">
        <f t="shared" si="45"/>
        <v>2113.55495288438</v>
      </c>
      <c r="AJ116" s="43">
        <f t="shared" si="46"/>
        <v>29036.25</v>
      </c>
      <c r="AK116" s="43">
        <f t="shared" si="47"/>
        <v>6340.66485865313</v>
      </c>
      <c r="AL116" s="28">
        <f t="shared" si="48"/>
        <v>0.759649748159628</v>
      </c>
      <c r="AM116" s="28">
        <f t="shared" si="49"/>
        <v>0.879485057846845</v>
      </c>
      <c r="AN116" s="43">
        <f t="shared" si="50"/>
        <v>11227.35</v>
      </c>
      <c r="AP116" s="28">
        <f t="shared" si="51"/>
        <v>0.2096358264</v>
      </c>
      <c r="AQ116" s="43">
        <f t="shared" si="52"/>
        <v>2353.65479553204</v>
      </c>
      <c r="AR116" s="43">
        <f t="shared" si="53"/>
        <v>33682.05</v>
      </c>
      <c r="AS116" s="43">
        <f t="shared" si="54"/>
        <v>7060.96438659612</v>
      </c>
      <c r="AT116" s="107">
        <f t="shared" si="55"/>
        <v>0.654870472551404</v>
      </c>
      <c r="AU116" s="107">
        <f t="shared" si="56"/>
        <v>0.789767472922813</v>
      </c>
    </row>
    <row r="117" spans="1:47">
      <c r="A117" s="25">
        <v>129</v>
      </c>
      <c r="B117" s="26">
        <v>119262</v>
      </c>
      <c r="C117" s="27" t="s">
        <v>157</v>
      </c>
      <c r="D117" s="26" t="s">
        <v>65</v>
      </c>
      <c r="E117" s="25">
        <v>2800</v>
      </c>
      <c r="F117" s="28">
        <v>0.26</v>
      </c>
      <c r="G117" s="25">
        <f t="shared" si="31"/>
        <v>728</v>
      </c>
      <c r="H117" s="29">
        <f>VLOOKUP(B117,[3]Sheet2!$A:$C,3,0)</f>
        <v>1</v>
      </c>
      <c r="J117" s="30">
        <f>VLOOKUP(B117,[1]查询时间段分门店销售汇总!$D:$L,9,0)</f>
        <v>11276.49</v>
      </c>
      <c r="K117" s="30">
        <f>VLOOKUP(B117,[1]查询时间段分门店销售汇总!$D:$M,10,0)</f>
        <v>3562.55</v>
      </c>
      <c r="L117" s="31">
        <f>E117*1.6</f>
        <v>4480</v>
      </c>
      <c r="M117" s="32">
        <v>0.2431</v>
      </c>
      <c r="N117" s="37">
        <f t="shared" si="32"/>
        <v>1089.088</v>
      </c>
      <c r="O117" s="37">
        <f t="shared" si="33"/>
        <v>17920</v>
      </c>
      <c r="P117" s="37">
        <f t="shared" si="34"/>
        <v>4356.352</v>
      </c>
      <c r="Q117" s="81">
        <f t="shared" si="35"/>
        <v>0.629268415178571</v>
      </c>
      <c r="R117" s="81">
        <f t="shared" si="36"/>
        <v>0.817782860521831</v>
      </c>
      <c r="S117" s="82">
        <f t="shared" si="37"/>
        <v>5152</v>
      </c>
      <c r="T117" s="83"/>
      <c r="U117" s="82">
        <f t="shared" si="60"/>
        <v>-66.4351</v>
      </c>
      <c r="V117" s="84">
        <f t="shared" si="59"/>
        <v>-33.21755</v>
      </c>
      <c r="W117" s="32">
        <f t="shared" si="38"/>
        <v>0.228514</v>
      </c>
      <c r="X117" s="37">
        <f t="shared" si="39"/>
        <v>1177.304128</v>
      </c>
      <c r="Y117" s="38">
        <f t="shared" si="40"/>
        <v>20608</v>
      </c>
      <c r="Z117" s="38">
        <f t="shared" si="41"/>
        <v>4709.216512</v>
      </c>
      <c r="AA117" s="81">
        <f t="shared" si="42"/>
        <v>0.547189926242236</v>
      </c>
      <c r="AB117" s="81">
        <f t="shared" si="43"/>
        <v>0.756505883923988</v>
      </c>
      <c r="AC117" s="71"/>
      <c r="AD117" s="71"/>
      <c r="AE117" s="98">
        <f>VLOOKUP(B117,[2]查询时间段分门店销售汇总!$D:$L,9,0)</f>
        <v>11702.81</v>
      </c>
      <c r="AF117" s="98">
        <f>VLOOKUP(B117,[2]查询时间段分门店销售汇总!$D:$M,10,0)</f>
        <v>3054.7</v>
      </c>
      <c r="AG117" s="41">
        <f t="shared" si="44"/>
        <v>3987.2</v>
      </c>
      <c r="AH117" s="28">
        <v>0.2467465</v>
      </c>
      <c r="AI117" s="43">
        <f t="shared" si="45"/>
        <v>983.8276448</v>
      </c>
      <c r="AJ117" s="43">
        <f t="shared" si="46"/>
        <v>11961.6</v>
      </c>
      <c r="AK117" s="43">
        <f t="shared" si="47"/>
        <v>2951.4829344</v>
      </c>
      <c r="AL117" s="28">
        <f t="shared" si="48"/>
        <v>0.978364934456929</v>
      </c>
      <c r="AM117" s="28">
        <f t="shared" si="49"/>
        <v>1.03497125610892</v>
      </c>
      <c r="AN117" s="43">
        <f t="shared" si="50"/>
        <v>4625.152</v>
      </c>
      <c r="AP117" s="28">
        <f t="shared" si="51"/>
        <v>0.23687664</v>
      </c>
      <c r="AQ117" s="43">
        <f t="shared" si="52"/>
        <v>1095.59046524928</v>
      </c>
      <c r="AR117" s="43">
        <f t="shared" si="53"/>
        <v>13875.456</v>
      </c>
      <c r="AS117" s="43">
        <f t="shared" si="54"/>
        <v>3286.77139574784</v>
      </c>
      <c r="AT117" s="107">
        <f t="shared" si="55"/>
        <v>0.843418046945628</v>
      </c>
      <c r="AU117" s="107">
        <f t="shared" si="56"/>
        <v>0.929392291764473</v>
      </c>
    </row>
    <row r="118" spans="1:47">
      <c r="A118" s="25">
        <v>24</v>
      </c>
      <c r="B118" s="26">
        <v>744</v>
      </c>
      <c r="C118" s="27" t="s">
        <v>158</v>
      </c>
      <c r="D118" s="26" t="s">
        <v>42</v>
      </c>
      <c r="E118" s="25">
        <v>7800</v>
      </c>
      <c r="F118" s="28">
        <v>0.275</v>
      </c>
      <c r="G118" s="25">
        <f t="shared" si="31"/>
        <v>2145</v>
      </c>
      <c r="H118" s="29">
        <f>VLOOKUP(B118,[3]Sheet2!$A:$C,3,0)</f>
        <v>2</v>
      </c>
      <c r="I118" s="25">
        <f>VLOOKUP(B118,[3]实习生!$A:$C,3,0)</f>
        <v>1</v>
      </c>
      <c r="J118" s="30">
        <f>VLOOKUP(B118,[1]查询时间段分门店销售汇总!$D:$L,9,0)</f>
        <v>28446.07</v>
      </c>
      <c r="K118" s="30">
        <f>VLOOKUP(B118,[1]查询时间段分门店销售汇总!$D:$M,10,0)</f>
        <v>7223.66</v>
      </c>
      <c r="L118" s="31">
        <f>E118*1.45</f>
        <v>11310</v>
      </c>
      <c r="M118" s="32">
        <v>0.257125</v>
      </c>
      <c r="N118" s="37">
        <f t="shared" si="32"/>
        <v>2908.08375</v>
      </c>
      <c r="O118" s="37">
        <f t="shared" si="33"/>
        <v>45240</v>
      </c>
      <c r="P118" s="37">
        <f t="shared" si="34"/>
        <v>11632.335</v>
      </c>
      <c r="Q118" s="81">
        <f t="shared" si="35"/>
        <v>0.628781388152078</v>
      </c>
      <c r="R118" s="81">
        <f t="shared" si="36"/>
        <v>0.62099827764589</v>
      </c>
      <c r="S118" s="82">
        <f t="shared" si="37"/>
        <v>13006.5</v>
      </c>
      <c r="T118" s="83"/>
      <c r="U118" s="82">
        <f t="shared" si="60"/>
        <v>-167.9393</v>
      </c>
      <c r="V118" s="84">
        <f t="shared" si="59"/>
        <v>-83.96965</v>
      </c>
      <c r="W118" s="32">
        <f t="shared" si="38"/>
        <v>0.2416975</v>
      </c>
      <c r="X118" s="37">
        <f t="shared" si="39"/>
        <v>3143.63853375</v>
      </c>
      <c r="Y118" s="38">
        <f t="shared" si="40"/>
        <v>52026</v>
      </c>
      <c r="Z118" s="38">
        <f t="shared" si="41"/>
        <v>12574.554135</v>
      </c>
      <c r="AA118" s="81">
        <f t="shared" si="42"/>
        <v>0.546766424480068</v>
      </c>
      <c r="AB118" s="81">
        <f t="shared" si="43"/>
        <v>0.574466491809334</v>
      </c>
      <c r="AC118" s="71"/>
      <c r="AD118" s="71"/>
      <c r="AE118" s="98">
        <f>VLOOKUP(B118,[2]查询时间段分门店销售汇总!$D:$L,9,0)</f>
        <v>25624.81</v>
      </c>
      <c r="AF118" s="98">
        <f>VLOOKUP(B118,[2]查询时间段分门店销售汇总!$D:$M,10,0)</f>
        <v>8152.92</v>
      </c>
      <c r="AG118" s="41">
        <f t="shared" si="44"/>
        <v>10065.9</v>
      </c>
      <c r="AH118" s="28">
        <v>0.260981875</v>
      </c>
      <c r="AI118" s="43">
        <f t="shared" si="45"/>
        <v>2627.0174555625</v>
      </c>
      <c r="AJ118" s="43">
        <f t="shared" si="46"/>
        <v>30197.7</v>
      </c>
      <c r="AK118" s="43">
        <f t="shared" si="47"/>
        <v>7881.0523666875</v>
      </c>
      <c r="AL118" s="28">
        <f t="shared" si="48"/>
        <v>0.848568268444286</v>
      </c>
      <c r="AM118" s="28">
        <f t="shared" si="49"/>
        <v>1.03449636173738</v>
      </c>
      <c r="AN118" s="43">
        <f t="shared" si="50"/>
        <v>11676.444</v>
      </c>
      <c r="AP118" s="28">
        <f t="shared" si="51"/>
        <v>0.2505426</v>
      </c>
      <c r="AQ118" s="43">
        <f t="shared" si="52"/>
        <v>2925.4466385144</v>
      </c>
      <c r="AR118" s="43">
        <f t="shared" si="53"/>
        <v>35029.332</v>
      </c>
      <c r="AS118" s="43">
        <f t="shared" si="54"/>
        <v>8776.3399155432</v>
      </c>
      <c r="AT118" s="107">
        <f t="shared" si="55"/>
        <v>0.731524369348522</v>
      </c>
      <c r="AU118" s="107">
        <f t="shared" si="56"/>
        <v>0.92896584207739</v>
      </c>
    </row>
    <row r="119" spans="1:47">
      <c r="A119" s="25">
        <v>15</v>
      </c>
      <c r="B119" s="26">
        <v>730</v>
      </c>
      <c r="C119" s="27" t="s">
        <v>159</v>
      </c>
      <c r="D119" s="26" t="s">
        <v>65</v>
      </c>
      <c r="E119" s="25">
        <v>9500</v>
      </c>
      <c r="F119" s="28">
        <v>0.29</v>
      </c>
      <c r="G119" s="25">
        <f t="shared" si="31"/>
        <v>2755</v>
      </c>
      <c r="H119" s="29">
        <f>VLOOKUP(B119,[3]Sheet2!$A:$C,3,0)</f>
        <v>4</v>
      </c>
      <c r="J119" s="30">
        <f>VLOOKUP(B119,[1]查询时间段分门店销售汇总!$D:$L,9,0)</f>
        <v>33448.41</v>
      </c>
      <c r="K119" s="30">
        <f>VLOOKUP(B119,[1]查询时间段分门店销售汇总!$D:$M,10,0)</f>
        <v>10428.02</v>
      </c>
      <c r="L119" s="31">
        <f>E119*1.4</f>
        <v>13300</v>
      </c>
      <c r="M119" s="32">
        <v>0.27115</v>
      </c>
      <c r="N119" s="37">
        <f t="shared" si="32"/>
        <v>3606.295</v>
      </c>
      <c r="O119" s="37">
        <f t="shared" si="33"/>
        <v>53200</v>
      </c>
      <c r="P119" s="37">
        <f t="shared" si="34"/>
        <v>14425.18</v>
      </c>
      <c r="Q119" s="81">
        <f t="shared" si="35"/>
        <v>0.628729511278196</v>
      </c>
      <c r="R119" s="81">
        <f t="shared" si="36"/>
        <v>0.722903977628009</v>
      </c>
      <c r="S119" s="82">
        <f t="shared" si="37"/>
        <v>15295</v>
      </c>
      <c r="T119" s="83"/>
      <c r="U119" s="82">
        <f t="shared" si="60"/>
        <v>-197.5159</v>
      </c>
      <c r="V119" s="84">
        <f t="shared" si="59"/>
        <v>-98.75795</v>
      </c>
      <c r="W119" s="32">
        <f t="shared" si="38"/>
        <v>0.254881</v>
      </c>
      <c r="X119" s="37">
        <f t="shared" si="39"/>
        <v>3898.404895</v>
      </c>
      <c r="Y119" s="38">
        <f t="shared" si="40"/>
        <v>61180</v>
      </c>
      <c r="Z119" s="38">
        <f t="shared" si="41"/>
        <v>15593.61958</v>
      </c>
      <c r="AA119" s="81">
        <f t="shared" si="42"/>
        <v>0.546721314154953</v>
      </c>
      <c r="AB119" s="81">
        <f t="shared" si="43"/>
        <v>0.668736334530998</v>
      </c>
      <c r="AC119" s="71"/>
      <c r="AD119" s="71"/>
      <c r="AE119" s="98">
        <f>VLOOKUP(B119,[2]查询时间段分门店销售汇总!$D:$L,9,0)</f>
        <v>30615.49</v>
      </c>
      <c r="AF119" s="98">
        <f>VLOOKUP(B119,[2]查询时间段分门店销售汇总!$D:$M,10,0)</f>
        <v>9075.06</v>
      </c>
      <c r="AG119" s="41">
        <f t="shared" si="44"/>
        <v>11837</v>
      </c>
      <c r="AH119" s="28">
        <v>0.27521725</v>
      </c>
      <c r="AI119" s="43">
        <f t="shared" si="45"/>
        <v>3257.74658825</v>
      </c>
      <c r="AJ119" s="43">
        <f t="shared" si="46"/>
        <v>35511</v>
      </c>
      <c r="AK119" s="43">
        <f t="shared" si="47"/>
        <v>9773.23976475</v>
      </c>
      <c r="AL119" s="28">
        <f t="shared" si="48"/>
        <v>0.862141026724114</v>
      </c>
      <c r="AM119" s="28">
        <f t="shared" si="49"/>
        <v>0.928562095931772</v>
      </c>
      <c r="AN119" s="43">
        <f t="shared" si="50"/>
        <v>13730.92</v>
      </c>
      <c r="AP119" s="28">
        <f t="shared" si="51"/>
        <v>0.26420856</v>
      </c>
      <c r="AQ119" s="43">
        <f t="shared" si="52"/>
        <v>3627.8266006752</v>
      </c>
      <c r="AR119" s="43">
        <f t="shared" si="53"/>
        <v>41192.76</v>
      </c>
      <c r="AS119" s="43">
        <f t="shared" si="54"/>
        <v>10883.4798020256</v>
      </c>
      <c r="AT119" s="107">
        <f t="shared" si="55"/>
        <v>0.743225023038029</v>
      </c>
      <c r="AU119" s="107">
        <f t="shared" si="56"/>
        <v>0.833838089019192</v>
      </c>
    </row>
    <row r="120" spans="1:47">
      <c r="A120" s="25">
        <v>98</v>
      </c>
      <c r="B120" s="26">
        <v>573</v>
      </c>
      <c r="C120" s="27" t="s">
        <v>160</v>
      </c>
      <c r="D120" s="26" t="s">
        <v>51</v>
      </c>
      <c r="E120" s="25">
        <v>3800</v>
      </c>
      <c r="F120" s="28">
        <v>0.2781</v>
      </c>
      <c r="G120" s="25">
        <f t="shared" si="31"/>
        <v>1056.78</v>
      </c>
      <c r="H120" s="29">
        <f>VLOOKUP(B120,[3]Sheet2!$A:$C,3,0)</f>
        <v>2</v>
      </c>
      <c r="J120" s="30">
        <f>VLOOKUP(B120,[1]查询时间段分门店销售汇总!$D:$L,9,0)</f>
        <v>15275.64</v>
      </c>
      <c r="K120" s="30">
        <f>VLOOKUP(B120,[1]查询时间段分门店销售汇总!$D:$M,10,0)</f>
        <v>4986.89</v>
      </c>
      <c r="L120" s="31">
        <f>E120*1.6</f>
        <v>6080</v>
      </c>
      <c r="M120" s="32">
        <v>0.2600235</v>
      </c>
      <c r="N120" s="37">
        <f t="shared" si="32"/>
        <v>1580.94288</v>
      </c>
      <c r="O120" s="37">
        <f t="shared" si="33"/>
        <v>24320</v>
      </c>
      <c r="P120" s="37">
        <f t="shared" si="34"/>
        <v>6323.77152</v>
      </c>
      <c r="Q120" s="81">
        <f t="shared" si="35"/>
        <v>0.628110197368421</v>
      </c>
      <c r="R120" s="81">
        <f t="shared" si="36"/>
        <v>0.788594272299073</v>
      </c>
      <c r="S120" s="82">
        <f t="shared" si="37"/>
        <v>6992</v>
      </c>
      <c r="T120" s="83"/>
      <c r="U120" s="82">
        <f t="shared" si="60"/>
        <v>-90.4436</v>
      </c>
      <c r="V120" s="84">
        <f t="shared" si="59"/>
        <v>-45.2218</v>
      </c>
      <c r="W120" s="32">
        <f t="shared" si="38"/>
        <v>0.24442209</v>
      </c>
      <c r="X120" s="37">
        <f t="shared" si="39"/>
        <v>1708.99925328</v>
      </c>
      <c r="Y120" s="38">
        <f t="shared" si="40"/>
        <v>27968</v>
      </c>
      <c r="Z120" s="38">
        <f t="shared" si="41"/>
        <v>6835.99701312</v>
      </c>
      <c r="AA120" s="81">
        <f t="shared" si="42"/>
        <v>0.546182780320366</v>
      </c>
      <c r="AB120" s="81">
        <f t="shared" si="43"/>
        <v>0.729504414707745</v>
      </c>
      <c r="AC120" s="71"/>
      <c r="AD120" s="71"/>
      <c r="AE120" s="98">
        <f>VLOOKUP(B120,[2]查询时间段分门店销售汇总!$D:$L,9,0)</f>
        <v>9681.68</v>
      </c>
      <c r="AF120" s="98">
        <f>VLOOKUP(B120,[2]查询时间段分门店销售汇总!$D:$M,10,0)</f>
        <v>2722.86</v>
      </c>
      <c r="AG120" s="41">
        <f t="shared" si="44"/>
        <v>5411.2</v>
      </c>
      <c r="AH120" s="28">
        <v>0.2639238525</v>
      </c>
      <c r="AI120" s="43">
        <f t="shared" si="45"/>
        <v>1428.144750648</v>
      </c>
      <c r="AJ120" s="43">
        <f t="shared" si="46"/>
        <v>16233.6</v>
      </c>
      <c r="AK120" s="43">
        <f t="shared" si="47"/>
        <v>4284.434251944</v>
      </c>
      <c r="AL120" s="28">
        <f t="shared" si="48"/>
        <v>0.596397595111374</v>
      </c>
      <c r="AM120" s="28">
        <f t="shared" si="49"/>
        <v>0.635523814787108</v>
      </c>
      <c r="AN120" s="43">
        <f t="shared" si="50"/>
        <v>6276.992</v>
      </c>
      <c r="AP120" s="28">
        <f t="shared" si="51"/>
        <v>0.2533668984</v>
      </c>
      <c r="AQ120" s="43">
        <f t="shared" si="52"/>
        <v>1590.38199432161</v>
      </c>
      <c r="AR120" s="43">
        <f t="shared" si="53"/>
        <v>18830.976</v>
      </c>
      <c r="AS120" s="43">
        <f t="shared" si="54"/>
        <v>4771.14598296484</v>
      </c>
      <c r="AT120" s="107">
        <f t="shared" si="55"/>
        <v>0.514135857854633</v>
      </c>
      <c r="AU120" s="107">
        <f t="shared" si="56"/>
        <v>0.570693080807389</v>
      </c>
    </row>
    <row r="121" spans="1:47">
      <c r="A121" s="25">
        <v>96</v>
      </c>
      <c r="B121" s="26">
        <v>102479</v>
      </c>
      <c r="C121" s="27" t="s">
        <v>161</v>
      </c>
      <c r="D121" s="26" t="s">
        <v>42</v>
      </c>
      <c r="E121" s="25">
        <v>3800</v>
      </c>
      <c r="F121" s="28">
        <v>0.3554</v>
      </c>
      <c r="G121" s="25">
        <f t="shared" si="31"/>
        <v>1350.52</v>
      </c>
      <c r="H121" s="29">
        <f>VLOOKUP(B121,[3]Sheet2!$A:$C,3,0)</f>
        <v>2</v>
      </c>
      <c r="J121" s="30">
        <f>VLOOKUP(B121,[1]查询时间段分门店销售汇总!$D:$L,9,0)</f>
        <v>15246.75</v>
      </c>
      <c r="K121" s="30">
        <f>VLOOKUP(B121,[1]查询时间段分门店销售汇总!$D:$M,10,0)</f>
        <v>4644.82</v>
      </c>
      <c r="L121" s="31">
        <f>E121*1.6</f>
        <v>6080</v>
      </c>
      <c r="M121" s="32">
        <v>0.31</v>
      </c>
      <c r="N121" s="37">
        <f t="shared" si="32"/>
        <v>1884.8</v>
      </c>
      <c r="O121" s="37">
        <f t="shared" si="33"/>
        <v>24320</v>
      </c>
      <c r="P121" s="37">
        <f t="shared" si="34"/>
        <v>7539.2</v>
      </c>
      <c r="Q121" s="81">
        <f t="shared" si="35"/>
        <v>0.626922286184211</v>
      </c>
      <c r="R121" s="81">
        <f t="shared" si="36"/>
        <v>0.616089240237691</v>
      </c>
      <c r="S121" s="82">
        <f t="shared" si="37"/>
        <v>6992</v>
      </c>
      <c r="T121" s="83"/>
      <c r="U121" s="82">
        <f t="shared" si="60"/>
        <v>-90.7325</v>
      </c>
      <c r="V121" s="84">
        <f t="shared" si="59"/>
        <v>-45.36625</v>
      </c>
      <c r="W121" s="32">
        <f t="shared" si="38"/>
        <v>0.2914</v>
      </c>
      <c r="X121" s="37">
        <f t="shared" si="39"/>
        <v>2037.4688</v>
      </c>
      <c r="Y121" s="38">
        <f t="shared" si="40"/>
        <v>27968</v>
      </c>
      <c r="Z121" s="38">
        <f t="shared" si="41"/>
        <v>8149.8752</v>
      </c>
      <c r="AA121" s="81">
        <f t="shared" si="42"/>
        <v>0.545149814073227</v>
      </c>
      <c r="AB121" s="81">
        <f t="shared" si="43"/>
        <v>0.569925291616735</v>
      </c>
      <c r="AC121" s="71"/>
      <c r="AD121" s="71"/>
      <c r="AE121" s="98">
        <f>VLOOKUP(B121,[2]查询时间段分门店销售汇总!$D:$L,9,0)</f>
        <v>14183.42</v>
      </c>
      <c r="AF121" s="98">
        <f>VLOOKUP(B121,[2]查询时间段分门店销售汇总!$D:$M,10,0)</f>
        <v>3829.82</v>
      </c>
      <c r="AG121" s="41">
        <f t="shared" si="44"/>
        <v>5411.2</v>
      </c>
      <c r="AH121" s="28">
        <v>0.31465</v>
      </c>
      <c r="AI121" s="43">
        <f t="shared" si="45"/>
        <v>1702.63408</v>
      </c>
      <c r="AJ121" s="43">
        <f t="shared" si="46"/>
        <v>16233.6</v>
      </c>
      <c r="AK121" s="43">
        <f t="shared" si="47"/>
        <v>5107.90224</v>
      </c>
      <c r="AL121" s="28">
        <f t="shared" si="48"/>
        <v>0.873707618766016</v>
      </c>
      <c r="AM121" s="28">
        <f t="shared" si="49"/>
        <v>0.749783339627894</v>
      </c>
      <c r="AN121" s="43">
        <f t="shared" si="50"/>
        <v>6276.992</v>
      </c>
      <c r="AP121" s="28">
        <f t="shared" si="51"/>
        <v>0.302064</v>
      </c>
      <c r="AQ121" s="43">
        <f t="shared" si="52"/>
        <v>1896.053311488</v>
      </c>
      <c r="AR121" s="43">
        <f t="shared" si="53"/>
        <v>18830.976</v>
      </c>
      <c r="AS121" s="43">
        <f t="shared" si="54"/>
        <v>5688.159934464</v>
      </c>
      <c r="AT121" s="107">
        <f t="shared" si="55"/>
        <v>0.753196223074152</v>
      </c>
      <c r="AU121" s="107">
        <f t="shared" si="56"/>
        <v>0.673296820786543</v>
      </c>
    </row>
    <row r="122" spans="1:47">
      <c r="A122" s="25">
        <v>131</v>
      </c>
      <c r="B122" s="26">
        <v>114069</v>
      </c>
      <c r="C122" s="27" t="s">
        <v>162</v>
      </c>
      <c r="D122" s="26" t="s">
        <v>51</v>
      </c>
      <c r="E122" s="25">
        <v>2800</v>
      </c>
      <c r="F122" s="28">
        <v>0.3404</v>
      </c>
      <c r="G122" s="25">
        <f t="shared" si="31"/>
        <v>953.12</v>
      </c>
      <c r="H122" s="29">
        <f>VLOOKUP(B122,[3]Sheet2!$A:$C,3,0)</f>
        <v>2</v>
      </c>
      <c r="J122" s="30">
        <f>VLOOKUP(B122,[1]查询时间段分门店销售汇总!$D:$L,9,0)</f>
        <v>11004.15</v>
      </c>
      <c r="K122" s="30">
        <f>VLOOKUP(B122,[1]查询时间段分门店销售汇总!$D:$M,10,0)</f>
        <v>4122</v>
      </c>
      <c r="L122" s="31">
        <f>E122*1.6</f>
        <v>4480</v>
      </c>
      <c r="M122" s="32">
        <v>0.318274</v>
      </c>
      <c r="N122" s="37">
        <f t="shared" si="32"/>
        <v>1425.86752</v>
      </c>
      <c r="O122" s="37">
        <f t="shared" si="33"/>
        <v>17920</v>
      </c>
      <c r="P122" s="37">
        <f t="shared" si="34"/>
        <v>5703.47008</v>
      </c>
      <c r="Q122" s="81">
        <f t="shared" si="35"/>
        <v>0.614070870535714</v>
      </c>
      <c r="R122" s="81">
        <f t="shared" si="36"/>
        <v>0.722717914214078</v>
      </c>
      <c r="S122" s="82">
        <f t="shared" si="37"/>
        <v>5152</v>
      </c>
      <c r="T122" s="83"/>
      <c r="U122" s="82">
        <f t="shared" si="60"/>
        <v>-69.1585</v>
      </c>
      <c r="V122" s="84">
        <f t="shared" si="59"/>
        <v>-34.57925</v>
      </c>
      <c r="W122" s="32">
        <f t="shared" si="38"/>
        <v>0.29917756</v>
      </c>
      <c r="X122" s="37">
        <f t="shared" si="39"/>
        <v>1541.36278912</v>
      </c>
      <c r="Y122" s="38">
        <f t="shared" si="40"/>
        <v>20608</v>
      </c>
      <c r="Z122" s="38">
        <f t="shared" si="41"/>
        <v>6165.45115648</v>
      </c>
      <c r="AA122" s="81">
        <f t="shared" si="42"/>
        <v>0.533974670031056</v>
      </c>
      <c r="AB122" s="81">
        <f t="shared" si="43"/>
        <v>0.668564212963994</v>
      </c>
      <c r="AC122" s="71"/>
      <c r="AD122" s="71"/>
      <c r="AE122" s="98">
        <f>VLOOKUP(B122,[2]查询时间段分门店销售汇总!$D:$L,9,0)</f>
        <v>9663.44</v>
      </c>
      <c r="AF122" s="98">
        <f>VLOOKUP(B122,[2]查询时间段分门店销售汇总!$D:$M,10,0)</f>
        <v>3117.2</v>
      </c>
      <c r="AG122" s="41">
        <f t="shared" si="44"/>
        <v>3987.2</v>
      </c>
      <c r="AH122" s="28">
        <v>0.32304811</v>
      </c>
      <c r="AI122" s="43">
        <f t="shared" si="45"/>
        <v>1288.057424192</v>
      </c>
      <c r="AJ122" s="43">
        <f t="shared" si="46"/>
        <v>11961.6</v>
      </c>
      <c r="AK122" s="43">
        <f t="shared" si="47"/>
        <v>3864.172272576</v>
      </c>
      <c r="AL122" s="28">
        <f t="shared" si="48"/>
        <v>0.807871856607812</v>
      </c>
      <c r="AM122" s="28">
        <f t="shared" si="49"/>
        <v>0.80669281287554</v>
      </c>
      <c r="AN122" s="43">
        <f t="shared" si="50"/>
        <v>4625.152</v>
      </c>
      <c r="AP122" s="28">
        <f t="shared" si="51"/>
        <v>0.3101261856</v>
      </c>
      <c r="AQ122" s="43">
        <f t="shared" si="52"/>
        <v>1434.38074758021</v>
      </c>
      <c r="AR122" s="43">
        <f t="shared" si="53"/>
        <v>13875.456</v>
      </c>
      <c r="AS122" s="43">
        <f t="shared" si="54"/>
        <v>4303.14224274063</v>
      </c>
      <c r="AT122" s="107">
        <f t="shared" si="55"/>
        <v>0.696441255696389</v>
      </c>
      <c r="AU122" s="107">
        <f t="shared" si="56"/>
        <v>0.724400873631052</v>
      </c>
    </row>
    <row r="123" spans="1:47">
      <c r="A123" s="25">
        <v>90</v>
      </c>
      <c r="B123" s="26">
        <v>752</v>
      </c>
      <c r="C123" s="27" t="s">
        <v>163</v>
      </c>
      <c r="D123" s="26" t="s">
        <v>39</v>
      </c>
      <c r="E123" s="25">
        <v>4000</v>
      </c>
      <c r="F123" s="28">
        <v>0.3113</v>
      </c>
      <c r="G123" s="25">
        <f t="shared" si="31"/>
        <v>1245.2</v>
      </c>
      <c r="H123" s="29">
        <f>VLOOKUP(B123,[3]Sheet2!$A:$C,3,0)</f>
        <v>3</v>
      </c>
      <c r="J123" s="30">
        <f>VLOOKUP(B123,[1]查询时间段分门店销售汇总!$D:$L,9,0)</f>
        <v>15161.95</v>
      </c>
      <c r="K123" s="30">
        <f>VLOOKUP(B123,[1]查询时间段分门店销售汇总!$D:$M,10,0)</f>
        <v>4519.95</v>
      </c>
      <c r="L123" s="31">
        <f>E123*1.55</f>
        <v>6200</v>
      </c>
      <c r="M123" s="32">
        <v>0.2910655</v>
      </c>
      <c r="N123" s="37">
        <f t="shared" si="32"/>
        <v>1804.6061</v>
      </c>
      <c r="O123" s="37">
        <f t="shared" si="33"/>
        <v>24800</v>
      </c>
      <c r="P123" s="37">
        <f t="shared" si="34"/>
        <v>7218.4244</v>
      </c>
      <c r="Q123" s="81">
        <f t="shared" si="35"/>
        <v>0.611368951612903</v>
      </c>
      <c r="R123" s="81">
        <f t="shared" si="36"/>
        <v>0.626168502921496</v>
      </c>
      <c r="S123" s="82">
        <f t="shared" si="37"/>
        <v>7130</v>
      </c>
      <c r="T123" s="83"/>
      <c r="U123" s="82">
        <f t="shared" si="60"/>
        <v>-96.3805</v>
      </c>
      <c r="V123" s="84">
        <f t="shared" si="59"/>
        <v>-48.19025</v>
      </c>
      <c r="W123" s="32">
        <f t="shared" si="38"/>
        <v>0.27360157</v>
      </c>
      <c r="X123" s="37">
        <f t="shared" si="39"/>
        <v>1950.7791941</v>
      </c>
      <c r="Y123" s="38">
        <f t="shared" si="40"/>
        <v>28520</v>
      </c>
      <c r="Z123" s="38">
        <f t="shared" si="41"/>
        <v>7803.1167764</v>
      </c>
      <c r="AA123" s="81">
        <f t="shared" si="42"/>
        <v>0.531625175315568</v>
      </c>
      <c r="AB123" s="81">
        <f t="shared" si="43"/>
        <v>0.579249308900552</v>
      </c>
      <c r="AC123" s="71"/>
      <c r="AD123" s="71"/>
      <c r="AE123" s="98">
        <f>VLOOKUP(B123,[2]查询时间段分门店销售汇总!$D:$L,9,0)</f>
        <v>13782.56</v>
      </c>
      <c r="AF123" s="98">
        <f>VLOOKUP(B123,[2]查询时间段分门店销售汇总!$D:$M,10,0)</f>
        <v>3964.18</v>
      </c>
      <c r="AG123" s="41">
        <f t="shared" si="44"/>
        <v>5518</v>
      </c>
      <c r="AH123" s="28">
        <v>0.2954314825</v>
      </c>
      <c r="AI123" s="43">
        <f t="shared" si="45"/>
        <v>1630.190920435</v>
      </c>
      <c r="AJ123" s="43">
        <f t="shared" si="46"/>
        <v>16554</v>
      </c>
      <c r="AK123" s="43">
        <f t="shared" si="47"/>
        <v>4890.572761305</v>
      </c>
      <c r="AL123" s="28">
        <f t="shared" si="48"/>
        <v>0.832581853328501</v>
      </c>
      <c r="AM123" s="28">
        <f t="shared" si="49"/>
        <v>0.810575814629573</v>
      </c>
      <c r="AN123" s="43">
        <f t="shared" si="50"/>
        <v>6400.88</v>
      </c>
      <c r="AP123" s="28">
        <f t="shared" si="51"/>
        <v>0.2836142232</v>
      </c>
      <c r="AQ123" s="43">
        <f t="shared" si="52"/>
        <v>1815.38060899642</v>
      </c>
      <c r="AR123" s="43">
        <f t="shared" si="53"/>
        <v>19202.64</v>
      </c>
      <c r="AS123" s="43">
        <f t="shared" si="54"/>
        <v>5446.14182698925</v>
      </c>
      <c r="AT123" s="107">
        <f t="shared" si="55"/>
        <v>0.717742977007328</v>
      </c>
      <c r="AU123" s="107">
        <f t="shared" si="56"/>
        <v>0.72788776457397</v>
      </c>
    </row>
    <row r="124" spans="1:47">
      <c r="A124" s="25">
        <v>67</v>
      </c>
      <c r="B124" s="26">
        <v>745</v>
      </c>
      <c r="C124" s="27" t="s">
        <v>164</v>
      </c>
      <c r="D124" s="26" t="s">
        <v>37</v>
      </c>
      <c r="E124" s="25">
        <v>5100</v>
      </c>
      <c r="F124" s="28">
        <v>0.2568</v>
      </c>
      <c r="G124" s="25">
        <f t="shared" si="31"/>
        <v>1309.68</v>
      </c>
      <c r="H124" s="29">
        <f>VLOOKUP(B124,[3]Sheet2!$A:$C,3,0)</f>
        <v>2</v>
      </c>
      <c r="I124" s="25">
        <f>VLOOKUP(B124,[3]实习生!$A:$C,3,0)</f>
        <v>1</v>
      </c>
      <c r="J124" s="30">
        <f>VLOOKUP(B124,[1]查询时间段分门店销售汇总!$D:$L,9,0)</f>
        <v>18661.4</v>
      </c>
      <c r="K124" s="30">
        <f>VLOOKUP(B124,[1]查询时间段分门店销售汇总!$D:$M,10,0)</f>
        <v>5317.2</v>
      </c>
      <c r="L124" s="31">
        <f>E124*1.5</f>
        <v>7650</v>
      </c>
      <c r="M124" s="32">
        <v>0.240108</v>
      </c>
      <c r="N124" s="37">
        <f t="shared" si="32"/>
        <v>1836.8262</v>
      </c>
      <c r="O124" s="37">
        <f t="shared" si="33"/>
        <v>30600</v>
      </c>
      <c r="P124" s="37">
        <f t="shared" si="34"/>
        <v>7347.3048</v>
      </c>
      <c r="Q124" s="81">
        <f t="shared" si="35"/>
        <v>0.609849673202614</v>
      </c>
      <c r="R124" s="81">
        <f t="shared" si="36"/>
        <v>0.723693945567632</v>
      </c>
      <c r="S124" s="82">
        <f t="shared" si="37"/>
        <v>8797.5</v>
      </c>
      <c r="T124" s="83"/>
      <c r="U124" s="82">
        <f t="shared" si="60"/>
        <v>-119.386</v>
      </c>
      <c r="V124" s="84">
        <f t="shared" si="59"/>
        <v>-59.693</v>
      </c>
      <c r="W124" s="32">
        <f t="shared" si="38"/>
        <v>0.22570152</v>
      </c>
      <c r="X124" s="37">
        <f t="shared" si="39"/>
        <v>1985.6091222</v>
      </c>
      <c r="Y124" s="38">
        <f t="shared" si="40"/>
        <v>35190</v>
      </c>
      <c r="Z124" s="38">
        <f t="shared" si="41"/>
        <v>7942.4364888</v>
      </c>
      <c r="AA124" s="81">
        <f t="shared" si="42"/>
        <v>0.530304063654447</v>
      </c>
      <c r="AB124" s="81">
        <f t="shared" si="43"/>
        <v>0.669467109683286</v>
      </c>
      <c r="AC124" s="71"/>
      <c r="AD124" s="71"/>
      <c r="AE124" s="98">
        <f>VLOOKUP(B124,[2]查询时间段分门店销售汇总!$D:$L,9,0)</f>
        <v>17512.08</v>
      </c>
      <c r="AF124" s="98">
        <f>VLOOKUP(B124,[2]查询时间段分门店销售汇总!$D:$M,10,0)</f>
        <v>5562.63</v>
      </c>
      <c r="AG124" s="41">
        <f t="shared" si="44"/>
        <v>6808.5</v>
      </c>
      <c r="AH124" s="28">
        <v>0.24370962</v>
      </c>
      <c r="AI124" s="43">
        <f t="shared" si="45"/>
        <v>1659.29694777</v>
      </c>
      <c r="AJ124" s="43">
        <f t="shared" si="46"/>
        <v>20425.5</v>
      </c>
      <c r="AK124" s="43">
        <f t="shared" si="47"/>
        <v>4977.89084331</v>
      </c>
      <c r="AL124" s="28">
        <f t="shared" si="48"/>
        <v>0.857363589630609</v>
      </c>
      <c r="AM124" s="28">
        <f t="shared" si="49"/>
        <v>1.11746725171281</v>
      </c>
      <c r="AN124" s="43">
        <f t="shared" si="50"/>
        <v>7897.86</v>
      </c>
      <c r="AP124" s="28">
        <f t="shared" si="51"/>
        <v>0.2339612352</v>
      </c>
      <c r="AQ124" s="43">
        <f t="shared" si="52"/>
        <v>1847.79308103667</v>
      </c>
      <c r="AR124" s="43">
        <f t="shared" si="53"/>
        <v>23693.58</v>
      </c>
      <c r="AS124" s="43">
        <f t="shared" si="54"/>
        <v>5543.37924311002</v>
      </c>
      <c r="AT124" s="107">
        <f t="shared" si="55"/>
        <v>0.739106542785008</v>
      </c>
      <c r="AU124" s="107">
        <f t="shared" si="56"/>
        <v>1.00347274758694</v>
      </c>
    </row>
    <row r="125" spans="1:47">
      <c r="A125" s="25">
        <v>118</v>
      </c>
      <c r="B125" s="26">
        <v>113025</v>
      </c>
      <c r="C125" s="27" t="s">
        <v>165</v>
      </c>
      <c r="D125" s="26" t="s">
        <v>39</v>
      </c>
      <c r="E125" s="25">
        <v>3400</v>
      </c>
      <c r="F125" s="28">
        <v>0.2709</v>
      </c>
      <c r="G125" s="25">
        <f t="shared" si="31"/>
        <v>921.06</v>
      </c>
      <c r="H125" s="29">
        <f>VLOOKUP(B125,[3]Sheet2!$A:$C,3,0)</f>
        <v>2</v>
      </c>
      <c r="J125" s="30">
        <f>VLOOKUP(B125,[1]查询时间段分门店销售汇总!$D:$L,9,0)</f>
        <v>13101.02</v>
      </c>
      <c r="K125" s="30">
        <f>VLOOKUP(B125,[1]查询时间段分门店销售汇总!$D:$M,10,0)</f>
        <v>4247.82</v>
      </c>
      <c r="L125" s="31">
        <f>E125*1.6</f>
        <v>5440</v>
      </c>
      <c r="M125" s="32">
        <v>0.2532915</v>
      </c>
      <c r="N125" s="37">
        <f t="shared" si="32"/>
        <v>1377.90576</v>
      </c>
      <c r="O125" s="37">
        <f t="shared" si="33"/>
        <v>21760</v>
      </c>
      <c r="P125" s="37">
        <f t="shared" si="34"/>
        <v>5511.62304</v>
      </c>
      <c r="Q125" s="81">
        <f t="shared" si="35"/>
        <v>0.602068933823529</v>
      </c>
      <c r="R125" s="81">
        <f t="shared" si="36"/>
        <v>0.770702199546651</v>
      </c>
      <c r="S125" s="82">
        <f t="shared" si="37"/>
        <v>6256</v>
      </c>
      <c r="T125" s="83"/>
      <c r="U125" s="82">
        <f t="shared" si="60"/>
        <v>-86.5898</v>
      </c>
      <c r="V125" s="84">
        <f t="shared" si="59"/>
        <v>-43.2949</v>
      </c>
      <c r="W125" s="32">
        <f t="shared" si="38"/>
        <v>0.23809401</v>
      </c>
      <c r="X125" s="37">
        <f t="shared" si="39"/>
        <v>1489.51612656</v>
      </c>
      <c r="Y125" s="38">
        <f t="shared" si="40"/>
        <v>25024</v>
      </c>
      <c r="Z125" s="38">
        <f t="shared" si="41"/>
        <v>5958.06450624</v>
      </c>
      <c r="AA125" s="81">
        <f t="shared" si="42"/>
        <v>0.523538203324808</v>
      </c>
      <c r="AB125" s="81">
        <f t="shared" si="43"/>
        <v>0.712953006056107</v>
      </c>
      <c r="AC125" s="71"/>
      <c r="AD125" s="71"/>
      <c r="AE125" s="98">
        <f>VLOOKUP(B125,[2]查询时间段分门店销售汇总!$D:$L,9,0)</f>
        <v>9870.24</v>
      </c>
      <c r="AF125" s="98">
        <f>VLOOKUP(B125,[2]查询时间段分门店销售汇总!$D:$M,10,0)</f>
        <v>3075.71</v>
      </c>
      <c r="AG125" s="41">
        <f t="shared" si="44"/>
        <v>4841.6</v>
      </c>
      <c r="AH125" s="28">
        <v>0.2570908725</v>
      </c>
      <c r="AI125" s="43">
        <f t="shared" si="45"/>
        <v>1244.731168296</v>
      </c>
      <c r="AJ125" s="43">
        <f t="shared" si="46"/>
        <v>14524.8</v>
      </c>
      <c r="AK125" s="43">
        <f t="shared" si="47"/>
        <v>3734.193504888</v>
      </c>
      <c r="AL125" s="28">
        <f t="shared" si="48"/>
        <v>0.679543952412426</v>
      </c>
      <c r="AM125" s="28">
        <f t="shared" si="49"/>
        <v>0.823661118786143</v>
      </c>
      <c r="AN125" s="43">
        <f t="shared" si="50"/>
        <v>5616.256</v>
      </c>
      <c r="AP125" s="28">
        <f t="shared" si="51"/>
        <v>0.2468072376</v>
      </c>
      <c r="AQ125" s="43">
        <f t="shared" si="52"/>
        <v>1386.13262901443</v>
      </c>
      <c r="AR125" s="43">
        <f t="shared" si="53"/>
        <v>16848.768</v>
      </c>
      <c r="AS125" s="43">
        <f t="shared" si="54"/>
        <v>4158.39788704328</v>
      </c>
      <c r="AT125" s="107">
        <f t="shared" si="55"/>
        <v>0.585813752079677</v>
      </c>
      <c r="AU125" s="107">
        <f t="shared" si="56"/>
        <v>0.739638217300775</v>
      </c>
    </row>
    <row r="126" spans="1:47">
      <c r="A126" s="25">
        <v>37</v>
      </c>
      <c r="B126" s="26">
        <v>111219</v>
      </c>
      <c r="C126" s="27" t="s">
        <v>166</v>
      </c>
      <c r="D126" s="26" t="s">
        <v>37</v>
      </c>
      <c r="E126" s="25">
        <v>7000</v>
      </c>
      <c r="F126" s="28">
        <v>0.326</v>
      </c>
      <c r="G126" s="25">
        <f t="shared" si="31"/>
        <v>2282</v>
      </c>
      <c r="H126" s="29">
        <f>VLOOKUP(B126,[3]Sheet2!$A:$C,3,0)</f>
        <v>3</v>
      </c>
      <c r="I126" s="25">
        <f>VLOOKUP(B126,[3]实习生!$A:$C,3,0)</f>
        <v>1</v>
      </c>
      <c r="J126" s="30">
        <f>VLOOKUP(B126,[1]查询时间段分门店销售汇总!$D:$L,9,0)</f>
        <v>24380.57</v>
      </c>
      <c r="K126" s="30">
        <f>VLOOKUP(B126,[1]查询时间段分门店销售汇总!$D:$M,10,0)</f>
        <v>6834.13</v>
      </c>
      <c r="L126" s="31">
        <f>E126*1.45</f>
        <v>10150</v>
      </c>
      <c r="M126" s="32">
        <v>0.30481</v>
      </c>
      <c r="N126" s="37">
        <f t="shared" si="32"/>
        <v>3093.8215</v>
      </c>
      <c r="O126" s="37">
        <f t="shared" si="33"/>
        <v>40600</v>
      </c>
      <c r="P126" s="37">
        <f t="shared" si="34"/>
        <v>12375.286</v>
      </c>
      <c r="Q126" s="81">
        <f t="shared" si="35"/>
        <v>0.600506650246305</v>
      </c>
      <c r="R126" s="81">
        <f t="shared" si="36"/>
        <v>0.552240166409083</v>
      </c>
      <c r="S126" s="82">
        <f t="shared" si="37"/>
        <v>11672.5</v>
      </c>
      <c r="T126" s="83"/>
      <c r="U126" s="82">
        <f t="shared" si="60"/>
        <v>-162.1943</v>
      </c>
      <c r="V126" s="84">
        <f t="shared" si="59"/>
        <v>-81.09715</v>
      </c>
      <c r="W126" s="32">
        <f t="shared" si="38"/>
        <v>0.2865214</v>
      </c>
      <c r="X126" s="37">
        <f t="shared" si="39"/>
        <v>3344.4210415</v>
      </c>
      <c r="Y126" s="38">
        <f t="shared" si="40"/>
        <v>46690</v>
      </c>
      <c r="Z126" s="38">
        <f t="shared" si="41"/>
        <v>13377.684166</v>
      </c>
      <c r="AA126" s="81">
        <f t="shared" si="42"/>
        <v>0.522179695866352</v>
      </c>
      <c r="AB126" s="81">
        <f t="shared" si="43"/>
        <v>0.510860468463537</v>
      </c>
      <c r="AC126" s="71"/>
      <c r="AD126" s="71"/>
      <c r="AE126" s="98">
        <f>VLOOKUP(B126,[2]查询时间段分门店销售汇总!$D:$L,9,0)</f>
        <v>15508.6</v>
      </c>
      <c r="AF126" s="98">
        <f>VLOOKUP(B126,[2]查询时间段分门店销售汇总!$D:$M,10,0)</f>
        <v>4566.5</v>
      </c>
      <c r="AG126" s="41">
        <f t="shared" si="44"/>
        <v>9033.5</v>
      </c>
      <c r="AH126" s="28">
        <v>0.30938215</v>
      </c>
      <c r="AI126" s="43">
        <f t="shared" si="45"/>
        <v>2794.803652025</v>
      </c>
      <c r="AJ126" s="43">
        <f t="shared" si="46"/>
        <v>27100.5</v>
      </c>
      <c r="AK126" s="43">
        <f t="shared" si="47"/>
        <v>8384.410956075</v>
      </c>
      <c r="AL126" s="28">
        <f t="shared" si="48"/>
        <v>0.572262504381838</v>
      </c>
      <c r="AM126" s="28">
        <f t="shared" si="49"/>
        <v>0.544641719486722</v>
      </c>
      <c r="AN126" s="43">
        <f t="shared" si="50"/>
        <v>10478.86</v>
      </c>
      <c r="AP126" s="28">
        <f t="shared" si="51"/>
        <v>0.297006864</v>
      </c>
      <c r="AQ126" s="43">
        <f t="shared" si="52"/>
        <v>3112.29334689504</v>
      </c>
      <c r="AR126" s="43">
        <f t="shared" si="53"/>
        <v>31436.58</v>
      </c>
      <c r="AS126" s="43">
        <f t="shared" si="54"/>
        <v>9336.88004068512</v>
      </c>
      <c r="AT126" s="107">
        <f t="shared" si="55"/>
        <v>0.493329745156757</v>
      </c>
      <c r="AU126" s="107">
        <f t="shared" si="56"/>
        <v>0.489082003849427</v>
      </c>
    </row>
    <row r="127" spans="1:47">
      <c r="A127" s="25">
        <v>106</v>
      </c>
      <c r="B127" s="26">
        <v>112888</v>
      </c>
      <c r="C127" s="27" t="s">
        <v>167</v>
      </c>
      <c r="D127" s="26" t="s">
        <v>39</v>
      </c>
      <c r="E127" s="25">
        <v>3700</v>
      </c>
      <c r="F127" s="28">
        <v>0.33</v>
      </c>
      <c r="G127" s="25">
        <f t="shared" si="31"/>
        <v>1221</v>
      </c>
      <c r="H127" s="29">
        <f>VLOOKUP(B127,[3]Sheet2!$A:$C,3,0)</f>
        <v>2</v>
      </c>
      <c r="I127" s="25">
        <f>VLOOKUP(B127,[3]实习生!$A:$C,3,0)</f>
        <v>1</v>
      </c>
      <c r="J127" s="30">
        <f>VLOOKUP(B127,[1]查询时间段分门店销售汇总!$D:$L,9,0)</f>
        <v>14154.5</v>
      </c>
      <c r="K127" s="30">
        <f>VLOOKUP(B127,[1]查询时间段分门店销售汇总!$D:$M,10,0)</f>
        <v>3996.13</v>
      </c>
      <c r="L127" s="31">
        <f>E127*1.6</f>
        <v>5920</v>
      </c>
      <c r="M127" s="32">
        <v>0.30855</v>
      </c>
      <c r="N127" s="37">
        <f t="shared" si="32"/>
        <v>1826.616</v>
      </c>
      <c r="O127" s="37">
        <f t="shared" si="33"/>
        <v>23680</v>
      </c>
      <c r="P127" s="37">
        <f t="shared" si="34"/>
        <v>7306.464</v>
      </c>
      <c r="Q127" s="81">
        <f t="shared" si="35"/>
        <v>0.597740709459459</v>
      </c>
      <c r="R127" s="81">
        <f t="shared" si="36"/>
        <v>0.546930772532377</v>
      </c>
      <c r="S127" s="82">
        <f t="shared" si="37"/>
        <v>6808</v>
      </c>
      <c r="T127" s="83"/>
      <c r="U127" s="82">
        <f t="shared" si="60"/>
        <v>-95.255</v>
      </c>
      <c r="V127" s="84">
        <f t="shared" si="59"/>
        <v>-47.6275</v>
      </c>
      <c r="W127" s="32">
        <f t="shared" si="38"/>
        <v>0.290037</v>
      </c>
      <c r="X127" s="37">
        <f t="shared" si="39"/>
        <v>1974.571896</v>
      </c>
      <c r="Y127" s="38">
        <f t="shared" si="40"/>
        <v>27232</v>
      </c>
      <c r="Z127" s="38">
        <f t="shared" si="41"/>
        <v>7898.287584</v>
      </c>
      <c r="AA127" s="81">
        <f t="shared" si="42"/>
        <v>0.519774529964747</v>
      </c>
      <c r="AB127" s="81">
        <f t="shared" si="43"/>
        <v>0.505948910760756</v>
      </c>
      <c r="AC127" s="71"/>
      <c r="AD127" s="71"/>
      <c r="AE127" s="98">
        <f>VLOOKUP(B127,[2]查询时间段分门店销售汇总!$D:$L,9,0)</f>
        <v>9287.78</v>
      </c>
      <c r="AF127" s="98">
        <f>VLOOKUP(B127,[2]查询时间段分门店销售汇总!$D:$M,10,0)</f>
        <v>3325.04</v>
      </c>
      <c r="AG127" s="41">
        <f t="shared" si="44"/>
        <v>5268.8</v>
      </c>
      <c r="AH127" s="28">
        <v>0.31317825</v>
      </c>
      <c r="AI127" s="43">
        <f t="shared" si="45"/>
        <v>1650.0735636</v>
      </c>
      <c r="AJ127" s="43">
        <f t="shared" si="46"/>
        <v>15806.4</v>
      </c>
      <c r="AK127" s="43">
        <f t="shared" si="47"/>
        <v>4950.2206908</v>
      </c>
      <c r="AL127" s="28">
        <f t="shared" si="48"/>
        <v>0.58759616357931</v>
      </c>
      <c r="AM127" s="28">
        <f t="shared" si="49"/>
        <v>0.671695305661745</v>
      </c>
      <c r="AN127" s="43">
        <f t="shared" si="50"/>
        <v>6111.808</v>
      </c>
      <c r="AP127" s="28">
        <f t="shared" si="51"/>
        <v>0.30065112</v>
      </c>
      <c r="AQ127" s="43">
        <f t="shared" si="52"/>
        <v>1837.52192042496</v>
      </c>
      <c r="AR127" s="43">
        <f t="shared" si="53"/>
        <v>18335.424</v>
      </c>
      <c r="AS127" s="43">
        <f t="shared" si="54"/>
        <v>5512.56576127488</v>
      </c>
      <c r="AT127" s="107">
        <f t="shared" si="55"/>
        <v>0.506548416878715</v>
      </c>
      <c r="AU127" s="107">
        <f t="shared" si="56"/>
        <v>0.60317466384855</v>
      </c>
    </row>
    <row r="128" spans="1:47">
      <c r="A128" s="25">
        <v>30</v>
      </c>
      <c r="B128" s="26">
        <v>578</v>
      </c>
      <c r="C128" s="27" t="s">
        <v>168</v>
      </c>
      <c r="D128" s="26" t="s">
        <v>65</v>
      </c>
      <c r="E128" s="25">
        <v>7400</v>
      </c>
      <c r="F128" s="28">
        <v>0.31</v>
      </c>
      <c r="G128" s="25">
        <f t="shared" si="31"/>
        <v>2294</v>
      </c>
      <c r="H128" s="29">
        <f>VLOOKUP(B128,[3]Sheet2!$A:$C,3,0)</f>
        <v>2</v>
      </c>
      <c r="I128" s="25">
        <f>VLOOKUP(B128,[3]实习生!$A:$C,3,0)</f>
        <v>1</v>
      </c>
      <c r="J128" s="30">
        <f>VLOOKUP(B128,[1]查询时间段分门店销售汇总!$D:$L,9,0)</f>
        <v>25015</v>
      </c>
      <c r="K128" s="30">
        <f>VLOOKUP(B128,[1]查询时间段分门店销售汇总!$D:$M,10,0)</f>
        <v>7871.66</v>
      </c>
      <c r="L128" s="31">
        <f>E128*1.45</f>
        <v>10730</v>
      </c>
      <c r="M128" s="32">
        <v>0.28985</v>
      </c>
      <c r="N128" s="37">
        <f t="shared" si="32"/>
        <v>3110.0905</v>
      </c>
      <c r="O128" s="37">
        <f t="shared" si="33"/>
        <v>42920</v>
      </c>
      <c r="P128" s="37">
        <f t="shared" si="34"/>
        <v>12440.362</v>
      </c>
      <c r="Q128" s="81">
        <f t="shared" si="35"/>
        <v>0.582828518173346</v>
      </c>
      <c r="R128" s="81">
        <f t="shared" si="36"/>
        <v>0.632751683592487</v>
      </c>
      <c r="S128" s="82">
        <f t="shared" si="37"/>
        <v>12339.5</v>
      </c>
      <c r="T128" s="83"/>
      <c r="U128" s="82">
        <f t="shared" si="60"/>
        <v>-179.05</v>
      </c>
      <c r="V128" s="84">
        <f t="shared" si="59"/>
        <v>-89.525</v>
      </c>
      <c r="W128" s="32">
        <f t="shared" si="38"/>
        <v>0.272459</v>
      </c>
      <c r="X128" s="37">
        <f t="shared" si="39"/>
        <v>3362.0078305</v>
      </c>
      <c r="Y128" s="38">
        <f t="shared" si="40"/>
        <v>49358</v>
      </c>
      <c r="Z128" s="38">
        <f t="shared" si="41"/>
        <v>13448.031322</v>
      </c>
      <c r="AA128" s="81">
        <f t="shared" si="42"/>
        <v>0.506807407107257</v>
      </c>
      <c r="AB128" s="81">
        <f t="shared" si="43"/>
        <v>0.585339207763633</v>
      </c>
      <c r="AC128" s="71"/>
      <c r="AD128" s="71"/>
      <c r="AE128" s="98">
        <f>VLOOKUP(B128,[2]查询时间段分门店销售汇总!$D:$L,9,0)</f>
        <v>23618.6</v>
      </c>
      <c r="AF128" s="98">
        <f>VLOOKUP(B128,[2]查询时间段分门店销售汇总!$D:$M,10,0)</f>
        <v>7810.74</v>
      </c>
      <c r="AG128" s="41">
        <f t="shared" si="44"/>
        <v>9549.7</v>
      </c>
      <c r="AH128" s="28">
        <v>0.29419775</v>
      </c>
      <c r="AI128" s="43">
        <f t="shared" si="45"/>
        <v>2809.500253175</v>
      </c>
      <c r="AJ128" s="43">
        <f t="shared" si="46"/>
        <v>28649.1</v>
      </c>
      <c r="AK128" s="43">
        <f t="shared" si="47"/>
        <v>8428.500759525</v>
      </c>
      <c r="AL128" s="28">
        <f t="shared" si="48"/>
        <v>0.824409841844944</v>
      </c>
      <c r="AM128" s="28">
        <f t="shared" si="49"/>
        <v>0.926705736031776</v>
      </c>
      <c r="AN128" s="43">
        <f t="shared" si="50"/>
        <v>11077.652</v>
      </c>
      <c r="AP128" s="28">
        <f t="shared" si="51"/>
        <v>0.28242984</v>
      </c>
      <c r="AQ128" s="43">
        <f t="shared" si="52"/>
        <v>3128.65948193568</v>
      </c>
      <c r="AR128" s="43">
        <f t="shared" si="53"/>
        <v>33232.956</v>
      </c>
      <c r="AS128" s="43">
        <f t="shared" si="54"/>
        <v>9385.97844580704</v>
      </c>
      <c r="AT128" s="107">
        <f t="shared" si="55"/>
        <v>0.710698139521504</v>
      </c>
      <c r="AU128" s="107">
        <f t="shared" si="56"/>
        <v>0.832171099166466</v>
      </c>
    </row>
    <row r="129" spans="1:47">
      <c r="A129" s="25">
        <v>101</v>
      </c>
      <c r="B129" s="26">
        <v>710</v>
      </c>
      <c r="C129" s="27" t="s">
        <v>169</v>
      </c>
      <c r="D129" s="26" t="s">
        <v>46</v>
      </c>
      <c r="E129" s="25">
        <v>3800</v>
      </c>
      <c r="F129" s="28">
        <v>0.3547</v>
      </c>
      <c r="G129" s="25">
        <f t="shared" si="31"/>
        <v>1347.86</v>
      </c>
      <c r="H129" s="29">
        <f>VLOOKUP(B129,[3]Sheet2!$A:$C,3,0)</f>
        <v>2</v>
      </c>
      <c r="J129" s="30">
        <f>VLOOKUP(B129,[1]查询时间段分门店销售汇总!$D:$L,9,0)</f>
        <v>14149.32</v>
      </c>
      <c r="K129" s="30">
        <f>VLOOKUP(B129,[1]查询时间段分门店销售汇总!$D:$M,10,0)</f>
        <v>4979.95</v>
      </c>
      <c r="L129" s="31">
        <f>E129*1.6</f>
        <v>6080</v>
      </c>
      <c r="M129" s="32">
        <v>0.32</v>
      </c>
      <c r="N129" s="37">
        <f t="shared" si="32"/>
        <v>1945.6</v>
      </c>
      <c r="O129" s="37">
        <f t="shared" si="33"/>
        <v>24320</v>
      </c>
      <c r="P129" s="37">
        <f t="shared" si="34"/>
        <v>7782.4</v>
      </c>
      <c r="Q129" s="81">
        <f t="shared" si="35"/>
        <v>0.581797697368421</v>
      </c>
      <c r="R129" s="81">
        <f t="shared" si="36"/>
        <v>0.639899002878289</v>
      </c>
      <c r="S129" s="82">
        <f t="shared" si="37"/>
        <v>6992</v>
      </c>
      <c r="T129" s="83"/>
      <c r="U129" s="82">
        <f t="shared" si="60"/>
        <v>-101.7068</v>
      </c>
      <c r="V129" s="84">
        <f t="shared" si="59"/>
        <v>-50.8534</v>
      </c>
      <c r="W129" s="32">
        <f t="shared" si="38"/>
        <v>0.3008</v>
      </c>
      <c r="X129" s="37">
        <f t="shared" si="39"/>
        <v>2103.1936</v>
      </c>
      <c r="Y129" s="38">
        <f t="shared" si="40"/>
        <v>27968</v>
      </c>
      <c r="Z129" s="38">
        <f t="shared" si="41"/>
        <v>8412.7744</v>
      </c>
      <c r="AA129" s="81">
        <f t="shared" si="42"/>
        <v>0.505911041189931</v>
      </c>
      <c r="AB129" s="81">
        <f t="shared" si="43"/>
        <v>0.591950973985467</v>
      </c>
      <c r="AC129" s="71"/>
      <c r="AD129" s="71"/>
      <c r="AE129" s="98">
        <f>VLOOKUP(B129,[2]查询时间段分门店销售汇总!$D:$L,9,0)</f>
        <v>11252.37</v>
      </c>
      <c r="AF129" s="98">
        <f>VLOOKUP(B129,[2]查询时间段分门店销售汇总!$D:$M,10,0)</f>
        <v>3847.32</v>
      </c>
      <c r="AG129" s="41">
        <f t="shared" si="44"/>
        <v>5411.2</v>
      </c>
      <c r="AH129" s="28">
        <v>0.3248</v>
      </c>
      <c r="AI129" s="43">
        <f t="shared" si="45"/>
        <v>1757.55776</v>
      </c>
      <c r="AJ129" s="43">
        <f t="shared" si="46"/>
        <v>16233.6</v>
      </c>
      <c r="AK129" s="43">
        <f t="shared" si="47"/>
        <v>5272.67328</v>
      </c>
      <c r="AL129" s="28">
        <f t="shared" si="48"/>
        <v>0.693153089887641</v>
      </c>
      <c r="AM129" s="28">
        <f t="shared" si="49"/>
        <v>0.729671609768319</v>
      </c>
      <c r="AN129" s="43">
        <f t="shared" si="50"/>
        <v>6276.992</v>
      </c>
      <c r="AP129" s="28">
        <f t="shared" si="51"/>
        <v>0.311808</v>
      </c>
      <c r="AQ129" s="43">
        <f t="shared" si="52"/>
        <v>1957.216321536</v>
      </c>
      <c r="AR129" s="43">
        <f t="shared" si="53"/>
        <v>18830.976</v>
      </c>
      <c r="AS129" s="43">
        <f t="shared" si="54"/>
        <v>5871.648964608</v>
      </c>
      <c r="AT129" s="107">
        <f t="shared" si="55"/>
        <v>0.597545767144518</v>
      </c>
      <c r="AU129" s="107">
        <f t="shared" si="56"/>
        <v>0.655236718541953</v>
      </c>
    </row>
    <row r="130" spans="1:47">
      <c r="A130" s="25">
        <v>121</v>
      </c>
      <c r="B130" s="26">
        <v>104838</v>
      </c>
      <c r="C130" s="27" t="s">
        <v>170</v>
      </c>
      <c r="D130" s="26" t="s">
        <v>53</v>
      </c>
      <c r="E130" s="25">
        <v>3300</v>
      </c>
      <c r="F130" s="28">
        <v>0.31</v>
      </c>
      <c r="G130" s="25">
        <f t="shared" si="31"/>
        <v>1023</v>
      </c>
      <c r="H130" s="29">
        <f>VLOOKUP(B130,[3]Sheet2!$A:$C,3,0)</f>
        <v>2</v>
      </c>
      <c r="J130" s="30">
        <f>VLOOKUP(B130,[1]查询时间段分门店销售汇总!$D:$L,9,0)</f>
        <v>12200.57</v>
      </c>
      <c r="K130" s="30">
        <f>VLOOKUP(B130,[1]查询时间段分门店销售汇总!$D:$M,10,0)</f>
        <v>3679.61</v>
      </c>
      <c r="L130" s="31">
        <f>E130*1.6</f>
        <v>5280</v>
      </c>
      <c r="M130" s="32">
        <v>0.28985</v>
      </c>
      <c r="N130" s="37">
        <f t="shared" si="32"/>
        <v>1530.408</v>
      </c>
      <c r="O130" s="37">
        <f t="shared" si="33"/>
        <v>21120</v>
      </c>
      <c r="P130" s="37">
        <f t="shared" si="34"/>
        <v>6121.632</v>
      </c>
      <c r="Q130" s="81">
        <f t="shared" si="35"/>
        <v>0.577678503787879</v>
      </c>
      <c r="R130" s="81">
        <f t="shared" si="36"/>
        <v>0.601083175205566</v>
      </c>
      <c r="S130" s="82">
        <f t="shared" si="37"/>
        <v>6072</v>
      </c>
      <c r="T130" s="83"/>
      <c r="U130" s="82">
        <f t="shared" si="60"/>
        <v>-89.1943</v>
      </c>
      <c r="V130" s="84">
        <f t="shared" si="59"/>
        <v>-44.59715</v>
      </c>
      <c r="W130" s="32">
        <f t="shared" si="38"/>
        <v>0.272459</v>
      </c>
      <c r="X130" s="37">
        <f t="shared" si="39"/>
        <v>1654.371048</v>
      </c>
      <c r="Y130" s="38">
        <f t="shared" si="40"/>
        <v>24288</v>
      </c>
      <c r="Z130" s="38">
        <f t="shared" si="41"/>
        <v>6617.484192</v>
      </c>
      <c r="AA130" s="81">
        <f t="shared" si="42"/>
        <v>0.50232913372859</v>
      </c>
      <c r="AB130" s="81">
        <f t="shared" si="43"/>
        <v>0.556043640338174</v>
      </c>
      <c r="AC130" s="71"/>
      <c r="AD130" s="71"/>
      <c r="AE130" s="98">
        <f>VLOOKUP(B130,[2]查询时间段分门店销售汇总!$D:$L,9,0)</f>
        <v>8994.73</v>
      </c>
      <c r="AF130" s="98">
        <f>VLOOKUP(B130,[2]查询时间段分门店销售汇总!$D:$M,10,0)</f>
        <v>2030.3</v>
      </c>
      <c r="AG130" s="41">
        <f t="shared" si="44"/>
        <v>4699.2</v>
      </c>
      <c r="AH130" s="28">
        <v>0.29419775</v>
      </c>
      <c r="AI130" s="43">
        <f t="shared" si="45"/>
        <v>1382.4940668</v>
      </c>
      <c r="AJ130" s="43">
        <f t="shared" si="46"/>
        <v>14097.6</v>
      </c>
      <c r="AK130" s="43">
        <f t="shared" si="47"/>
        <v>4147.4822004</v>
      </c>
      <c r="AL130" s="28">
        <f t="shared" si="48"/>
        <v>0.638032714788333</v>
      </c>
      <c r="AM130" s="28">
        <f t="shared" si="49"/>
        <v>0.489525910395514</v>
      </c>
      <c r="AN130" s="43">
        <f t="shared" si="50"/>
        <v>5451.072</v>
      </c>
      <c r="AP130" s="28">
        <f t="shared" si="51"/>
        <v>0.28242984</v>
      </c>
      <c r="AQ130" s="43">
        <f t="shared" si="52"/>
        <v>1539.54539278848</v>
      </c>
      <c r="AR130" s="43">
        <f t="shared" si="53"/>
        <v>16353.216</v>
      </c>
      <c r="AS130" s="43">
        <f t="shared" si="54"/>
        <v>4618.63617836544</v>
      </c>
      <c r="AT130" s="107">
        <f t="shared" si="55"/>
        <v>0.550028202403735</v>
      </c>
      <c r="AU130" s="107">
        <f t="shared" si="56"/>
        <v>0.439588640800569</v>
      </c>
    </row>
    <row r="131" spans="1:47">
      <c r="A131" s="25">
        <v>108</v>
      </c>
      <c r="B131" s="26">
        <v>104430</v>
      </c>
      <c r="C131" s="27" t="s">
        <v>171</v>
      </c>
      <c r="D131" s="26" t="s">
        <v>51</v>
      </c>
      <c r="E131" s="25">
        <v>3600</v>
      </c>
      <c r="F131" s="28">
        <v>0.3174</v>
      </c>
      <c r="G131" s="25">
        <f t="shared" si="31"/>
        <v>1142.64</v>
      </c>
      <c r="H131" s="29">
        <f>VLOOKUP(B131,[3]Sheet2!$A:$C,3,0)</f>
        <v>3</v>
      </c>
      <c r="J131" s="30">
        <f>VLOOKUP(B131,[1]查询时间段分门店销售汇总!$D:$L,9,0)</f>
        <v>12734.99</v>
      </c>
      <c r="K131" s="30">
        <f>VLOOKUP(B131,[1]查询时间段分门店销售汇总!$D:$M,10,0)</f>
        <v>3620.92</v>
      </c>
      <c r="L131" s="31">
        <f>E131*1.6</f>
        <v>5760</v>
      </c>
      <c r="M131" s="32">
        <v>0.296769</v>
      </c>
      <c r="N131" s="37">
        <f t="shared" si="32"/>
        <v>1709.38944</v>
      </c>
      <c r="O131" s="37">
        <f t="shared" si="33"/>
        <v>23040</v>
      </c>
      <c r="P131" s="37">
        <f t="shared" si="34"/>
        <v>6837.55776</v>
      </c>
      <c r="Q131" s="81">
        <f t="shared" si="35"/>
        <v>0.552733940972222</v>
      </c>
      <c r="R131" s="81">
        <f t="shared" si="36"/>
        <v>0.529563350993908</v>
      </c>
      <c r="S131" s="82">
        <f t="shared" si="37"/>
        <v>6624</v>
      </c>
      <c r="T131" s="83"/>
      <c r="U131" s="82">
        <f t="shared" si="60"/>
        <v>-103.0501</v>
      </c>
      <c r="V131" s="84">
        <f t="shared" si="59"/>
        <v>-51.52505</v>
      </c>
      <c r="W131" s="32">
        <f t="shared" si="38"/>
        <v>0.27896286</v>
      </c>
      <c r="X131" s="37">
        <f t="shared" si="39"/>
        <v>1847.84998464</v>
      </c>
      <c r="Y131" s="38">
        <f t="shared" si="40"/>
        <v>26496</v>
      </c>
      <c r="Z131" s="38">
        <f t="shared" si="41"/>
        <v>7391.39993856</v>
      </c>
      <c r="AA131" s="81">
        <f t="shared" si="42"/>
        <v>0.480638209541063</v>
      </c>
      <c r="AB131" s="81">
        <f t="shared" si="43"/>
        <v>0.489882840882431</v>
      </c>
      <c r="AC131" s="71"/>
      <c r="AD131" s="71"/>
      <c r="AE131" s="98">
        <f>VLOOKUP(B131,[2]查询时间段分门店销售汇总!$D:$L,9,0)</f>
        <v>9001.15</v>
      </c>
      <c r="AF131" s="98">
        <f>VLOOKUP(B131,[2]查询时间段分门店销售汇总!$D:$M,10,0)</f>
        <v>2552.87</v>
      </c>
      <c r="AG131" s="41">
        <f t="shared" si="44"/>
        <v>5126.4</v>
      </c>
      <c r="AH131" s="28">
        <v>0.301220535</v>
      </c>
      <c r="AI131" s="43">
        <f t="shared" si="45"/>
        <v>1544.176950624</v>
      </c>
      <c r="AJ131" s="43">
        <f t="shared" si="46"/>
        <v>15379.2</v>
      </c>
      <c r="AK131" s="43">
        <f t="shared" si="47"/>
        <v>4632.530851872</v>
      </c>
      <c r="AL131" s="28">
        <f t="shared" si="48"/>
        <v>0.585280768830628</v>
      </c>
      <c r="AM131" s="28">
        <f t="shared" si="49"/>
        <v>0.551074581396126</v>
      </c>
      <c r="AN131" s="43">
        <f t="shared" si="50"/>
        <v>5946.624</v>
      </c>
      <c r="AP131" s="28">
        <f t="shared" si="51"/>
        <v>0.2891717136</v>
      </c>
      <c r="AQ131" s="43">
        <f t="shared" si="52"/>
        <v>1719.59545221489</v>
      </c>
      <c r="AR131" s="43">
        <f t="shared" si="53"/>
        <v>17839.872</v>
      </c>
      <c r="AS131" s="43">
        <f t="shared" si="54"/>
        <v>5158.78635664466</v>
      </c>
      <c r="AT131" s="107">
        <f t="shared" si="55"/>
        <v>0.504552386922956</v>
      </c>
      <c r="AU131" s="107">
        <f t="shared" si="56"/>
        <v>0.49485863990313</v>
      </c>
    </row>
    <row r="132" spans="1:47">
      <c r="A132" s="25">
        <v>44</v>
      </c>
      <c r="B132" s="26">
        <v>114622</v>
      </c>
      <c r="C132" s="27" t="s">
        <v>172</v>
      </c>
      <c r="D132" s="26" t="s">
        <v>65</v>
      </c>
      <c r="E132" s="25">
        <v>6500</v>
      </c>
      <c r="F132" s="28">
        <v>0.3</v>
      </c>
      <c r="G132" s="25">
        <f t="shared" ref="G132:G146" si="61">E132*F132</f>
        <v>1950</v>
      </c>
      <c r="H132" s="29">
        <f>VLOOKUP(B132,[3]Sheet2!$A:$C,3,0)</f>
        <v>3</v>
      </c>
      <c r="I132" s="25">
        <f>VLOOKUP(B132,[3]实习生!$A:$C,3,0)</f>
        <v>1</v>
      </c>
      <c r="J132" s="30">
        <f>VLOOKUP(B132,[1]查询时间段分门店销售汇总!$D:$L,9,0)</f>
        <v>20540.2</v>
      </c>
      <c r="K132" s="30">
        <f>VLOOKUP(B132,[1]查询时间段分门店销售汇总!$D:$M,10,0)</f>
        <v>6453.3</v>
      </c>
      <c r="L132" s="31">
        <f>E132*1.45</f>
        <v>9425</v>
      </c>
      <c r="M132" s="32">
        <v>0.2805</v>
      </c>
      <c r="N132" s="37">
        <f t="shared" ref="N132:N146" si="62">L132*M132</f>
        <v>2643.7125</v>
      </c>
      <c r="O132" s="37">
        <f t="shared" ref="O132:O146" si="63">L132*4</f>
        <v>37700</v>
      </c>
      <c r="P132" s="37">
        <f t="shared" ref="P132:P146" si="64">N132*4</f>
        <v>10574.85</v>
      </c>
      <c r="Q132" s="81">
        <f t="shared" ref="Q132:Q146" si="65">J132/O132</f>
        <v>0.544832891246684</v>
      </c>
      <c r="R132" s="81">
        <f t="shared" ref="R132:R146" si="66">K132/P132</f>
        <v>0.610249790777174</v>
      </c>
      <c r="S132" s="82">
        <f t="shared" ref="S132:S146" si="67">L132*1.15</f>
        <v>10838.75</v>
      </c>
      <c r="T132" s="83"/>
      <c r="U132" s="82">
        <f t="shared" si="60"/>
        <v>-171.598</v>
      </c>
      <c r="V132" s="84">
        <f t="shared" si="59"/>
        <v>-85.799</v>
      </c>
      <c r="W132" s="32">
        <f t="shared" ref="W132:W146" si="68">M132*0.94</f>
        <v>0.26367</v>
      </c>
      <c r="X132" s="37">
        <f t="shared" ref="X132:X146" si="69">S132*W132</f>
        <v>2857.8532125</v>
      </c>
      <c r="Y132" s="38">
        <f t="shared" ref="Y132:Y146" si="70">S132*4</f>
        <v>43355</v>
      </c>
      <c r="Z132" s="38">
        <f t="shared" ref="Z132:Z146" si="71">X132*4</f>
        <v>11431.41285</v>
      </c>
      <c r="AA132" s="81">
        <f t="shared" ref="AA132:AA146" si="72">J132/Y132</f>
        <v>0.473767731518856</v>
      </c>
      <c r="AB132" s="81">
        <f t="shared" ref="AB132:AB146" si="73">K132/Z132</f>
        <v>0.564523395723565</v>
      </c>
      <c r="AC132" s="71"/>
      <c r="AD132" s="71"/>
      <c r="AE132" s="98">
        <f>VLOOKUP(B132,[2]查询时间段分门店销售汇总!$D:$L,9,0)</f>
        <v>21743.99</v>
      </c>
      <c r="AF132" s="98">
        <f>VLOOKUP(B132,[2]查询时间段分门店销售汇总!$D:$M,10,0)</f>
        <v>5506.3</v>
      </c>
      <c r="AG132" s="41">
        <f t="shared" ref="AG132:AG146" si="74">L132*0.89</f>
        <v>8388.25</v>
      </c>
      <c r="AH132" s="28">
        <v>0.2847075</v>
      </c>
      <c r="AI132" s="43">
        <f t="shared" ref="AI132:AI146" si="75">AG132*AH132</f>
        <v>2388.197686875</v>
      </c>
      <c r="AJ132" s="43">
        <f t="shared" ref="AJ132:AJ146" si="76">AG132*3</f>
        <v>25164.75</v>
      </c>
      <c r="AK132" s="43">
        <f t="shared" ref="AK132:AK146" si="77">AI132*3</f>
        <v>7164.593060625</v>
      </c>
      <c r="AL132" s="28">
        <f t="shared" ref="AL132:AL146" si="78">AE132/AJ132</f>
        <v>0.864065408954987</v>
      </c>
      <c r="AM132" s="28">
        <f t="shared" ref="AM132:AM146" si="79">AF132/AK132</f>
        <v>0.768543300841662</v>
      </c>
      <c r="AN132" s="43">
        <f t="shared" ref="AN132:AN146" si="80">AG132*1.16</f>
        <v>9730.37</v>
      </c>
      <c r="AP132" s="28">
        <f t="shared" ref="AP132:AP146" si="81">AH132*0.96</f>
        <v>0.2733192</v>
      </c>
      <c r="AQ132" s="43">
        <f t="shared" ref="AQ132:AQ146" si="82">AN132*AP132</f>
        <v>2659.496944104</v>
      </c>
      <c r="AR132" s="43">
        <f t="shared" ref="AR132:AR146" si="83">AN132*3</f>
        <v>29191.11</v>
      </c>
      <c r="AS132" s="43">
        <f t="shared" ref="AS132:AS146" si="84">AQ132*3</f>
        <v>7978.490832312</v>
      </c>
      <c r="AT132" s="107">
        <f t="shared" ref="AT132:AT146" si="85">AE132/AR132</f>
        <v>0.744883973237058</v>
      </c>
      <c r="AU132" s="107">
        <f t="shared" ref="AU132:AU146" si="86">AF132/AS132</f>
        <v>0.690143050324768</v>
      </c>
    </row>
    <row r="133" spans="1:47">
      <c r="A133" s="25">
        <v>134</v>
      </c>
      <c r="B133" s="26">
        <v>117637</v>
      </c>
      <c r="C133" s="27" t="s">
        <v>173</v>
      </c>
      <c r="D133" s="26" t="s">
        <v>61</v>
      </c>
      <c r="E133" s="25">
        <v>2600</v>
      </c>
      <c r="F133" s="28">
        <v>0.2986</v>
      </c>
      <c r="G133" s="25">
        <f t="shared" si="61"/>
        <v>776.36</v>
      </c>
      <c r="H133" s="29">
        <f>VLOOKUP(B133,[3]Sheet2!$A:$C,3,0)</f>
        <v>3</v>
      </c>
      <c r="J133" s="30">
        <f>VLOOKUP(B133,[1]查询时间段分门店销售汇总!$D:$L,9,0)</f>
        <v>8834.22</v>
      </c>
      <c r="K133" s="30">
        <f>VLOOKUP(B133,[1]查询时间段分门店销售汇总!$D:$M,10,0)</f>
        <v>2606.05</v>
      </c>
      <c r="L133" s="31">
        <f>E133*1.6</f>
        <v>4160</v>
      </c>
      <c r="M133" s="32">
        <v>0.279191</v>
      </c>
      <c r="N133" s="37">
        <f t="shared" si="62"/>
        <v>1161.43456</v>
      </c>
      <c r="O133" s="37">
        <f t="shared" si="63"/>
        <v>16640</v>
      </c>
      <c r="P133" s="37">
        <f t="shared" si="64"/>
        <v>4645.73824</v>
      </c>
      <c r="Q133" s="81">
        <f t="shared" si="65"/>
        <v>0.530902644230769</v>
      </c>
      <c r="R133" s="81">
        <f t="shared" si="66"/>
        <v>0.560954979676169</v>
      </c>
      <c r="S133" s="82">
        <f t="shared" si="67"/>
        <v>4784</v>
      </c>
      <c r="T133" s="83"/>
      <c r="U133" s="82">
        <f t="shared" si="60"/>
        <v>-78.0578</v>
      </c>
      <c r="V133" s="84">
        <f>U133/2</f>
        <v>-39.0289</v>
      </c>
      <c r="W133" s="32">
        <f t="shared" si="68"/>
        <v>0.26243954</v>
      </c>
      <c r="X133" s="37">
        <f t="shared" si="69"/>
        <v>1255.51075936</v>
      </c>
      <c r="Y133" s="38">
        <f t="shared" si="70"/>
        <v>19136</v>
      </c>
      <c r="Z133" s="38">
        <f t="shared" si="71"/>
        <v>5022.04303744</v>
      </c>
      <c r="AA133" s="81">
        <f t="shared" si="72"/>
        <v>0.461654473244147</v>
      </c>
      <c r="AB133" s="81">
        <f t="shared" si="73"/>
        <v>0.518922275371109</v>
      </c>
      <c r="AC133" s="71"/>
      <c r="AD133" s="71"/>
      <c r="AE133" s="98">
        <f>VLOOKUP(B133,[2]查询时间段分门店销售汇总!$D:$L,9,0)</f>
        <v>7593.07</v>
      </c>
      <c r="AF133" s="98">
        <f>VLOOKUP(B133,[2]查询时间段分门店销售汇总!$D:$M,10,0)</f>
        <v>2169.7</v>
      </c>
      <c r="AG133" s="41">
        <f t="shared" si="74"/>
        <v>3702.4</v>
      </c>
      <c r="AH133" s="28">
        <v>0.283378865</v>
      </c>
      <c r="AI133" s="43">
        <f t="shared" si="75"/>
        <v>1049.181909776</v>
      </c>
      <c r="AJ133" s="43">
        <f t="shared" si="76"/>
        <v>11107.2</v>
      </c>
      <c r="AK133" s="43">
        <f t="shared" si="77"/>
        <v>3147.545729328</v>
      </c>
      <c r="AL133" s="28">
        <f t="shared" si="78"/>
        <v>0.683616933160472</v>
      </c>
      <c r="AM133" s="28">
        <f t="shared" si="79"/>
        <v>0.689330731491304</v>
      </c>
      <c r="AN133" s="43">
        <f t="shared" si="80"/>
        <v>4294.784</v>
      </c>
      <c r="AP133" s="28">
        <f t="shared" si="81"/>
        <v>0.2720437104</v>
      </c>
      <c r="AQ133" s="43">
        <f t="shared" si="82"/>
        <v>1168.36897472655</v>
      </c>
      <c r="AR133" s="43">
        <f t="shared" si="83"/>
        <v>12884.352</v>
      </c>
      <c r="AS133" s="43">
        <f t="shared" si="84"/>
        <v>3505.10692417966</v>
      </c>
      <c r="AT133" s="107">
        <f t="shared" si="85"/>
        <v>0.589324942379718</v>
      </c>
      <c r="AU133" s="107">
        <f t="shared" si="86"/>
        <v>0.61901107353745</v>
      </c>
    </row>
    <row r="134" spans="1:47">
      <c r="A134" s="25">
        <v>137</v>
      </c>
      <c r="B134" s="26">
        <v>123007</v>
      </c>
      <c r="C134" s="27" t="s">
        <v>174</v>
      </c>
      <c r="D134" s="26" t="s">
        <v>61</v>
      </c>
      <c r="E134" s="25">
        <v>2400</v>
      </c>
      <c r="F134" s="28">
        <v>0.3</v>
      </c>
      <c r="G134" s="25">
        <f t="shared" si="61"/>
        <v>720</v>
      </c>
      <c r="H134" s="29">
        <f>VLOOKUP(B134,[3]Sheet2!$A:$C,3,0)</f>
        <v>2</v>
      </c>
      <c r="J134" s="30">
        <f>VLOOKUP(B134,[1]查询时间段分门店销售汇总!$D:$L,9,0)</f>
        <v>8065.37</v>
      </c>
      <c r="K134" s="30">
        <f>VLOOKUP(B134,[1]查询时间段分门店销售汇总!$D:$M,10,0)</f>
        <v>2776.5</v>
      </c>
      <c r="L134" s="31">
        <f>E134*1.6</f>
        <v>3840</v>
      </c>
      <c r="M134" s="32">
        <v>0.2805</v>
      </c>
      <c r="N134" s="37">
        <f t="shared" si="62"/>
        <v>1077.12</v>
      </c>
      <c r="O134" s="37">
        <f t="shared" si="63"/>
        <v>15360</v>
      </c>
      <c r="P134" s="37">
        <f t="shared" si="64"/>
        <v>4308.48</v>
      </c>
      <c r="Q134" s="81">
        <f t="shared" si="65"/>
        <v>0.525089192708333</v>
      </c>
      <c r="R134" s="81">
        <f t="shared" si="66"/>
        <v>0.644426804812834</v>
      </c>
      <c r="S134" s="82">
        <f t="shared" si="67"/>
        <v>4416</v>
      </c>
      <c r="T134" s="83"/>
      <c r="U134" s="82">
        <f t="shared" si="60"/>
        <v>-72.9463</v>
      </c>
      <c r="V134" s="84">
        <f>U134/2</f>
        <v>-36.47315</v>
      </c>
      <c r="W134" s="32">
        <f t="shared" si="68"/>
        <v>0.26367</v>
      </c>
      <c r="X134" s="37">
        <f t="shared" si="69"/>
        <v>1164.36672</v>
      </c>
      <c r="Y134" s="38">
        <f t="shared" si="70"/>
        <v>17664</v>
      </c>
      <c r="Z134" s="38">
        <f t="shared" si="71"/>
        <v>4657.46688</v>
      </c>
      <c r="AA134" s="81">
        <f t="shared" si="72"/>
        <v>0.456599298007246</v>
      </c>
      <c r="AB134" s="81">
        <f t="shared" si="73"/>
        <v>0.59613950491474</v>
      </c>
      <c r="AC134" s="71"/>
      <c r="AD134" s="71"/>
      <c r="AE134" s="98">
        <f>VLOOKUP(B134,[2]查询时间段分门店销售汇总!$D:$L,9,0)</f>
        <v>8431.62</v>
      </c>
      <c r="AF134" s="98">
        <f>VLOOKUP(B134,[2]查询时间段分门店销售汇总!$D:$M,10,0)</f>
        <v>2293.13</v>
      </c>
      <c r="AG134" s="41">
        <f t="shared" si="74"/>
        <v>3417.6</v>
      </c>
      <c r="AH134" s="28">
        <v>0.2847075</v>
      </c>
      <c r="AI134" s="43">
        <f t="shared" si="75"/>
        <v>973.016352</v>
      </c>
      <c r="AJ134" s="43">
        <f t="shared" si="76"/>
        <v>10252.8</v>
      </c>
      <c r="AK134" s="43">
        <f t="shared" si="77"/>
        <v>2919.049056</v>
      </c>
      <c r="AL134" s="28">
        <f t="shared" si="78"/>
        <v>0.822372425093633</v>
      </c>
      <c r="AM134" s="28">
        <f t="shared" si="79"/>
        <v>0.785574327806021</v>
      </c>
      <c r="AN134" s="43">
        <f t="shared" si="80"/>
        <v>3964.416</v>
      </c>
      <c r="AP134" s="28">
        <f t="shared" si="81"/>
        <v>0.2733192</v>
      </c>
      <c r="AQ134" s="43">
        <f t="shared" si="82"/>
        <v>1083.5510095872</v>
      </c>
      <c r="AR134" s="43">
        <f t="shared" si="83"/>
        <v>11893.248</v>
      </c>
      <c r="AS134" s="43">
        <f t="shared" si="84"/>
        <v>3250.6530287616</v>
      </c>
      <c r="AT134" s="107">
        <f t="shared" si="85"/>
        <v>0.708941745770373</v>
      </c>
      <c r="AU134" s="107">
        <f t="shared" si="86"/>
        <v>0.705436716779832</v>
      </c>
    </row>
    <row r="135" spans="1:47">
      <c r="A135" s="25">
        <v>58</v>
      </c>
      <c r="B135" s="26">
        <v>102565</v>
      </c>
      <c r="C135" s="27" t="s">
        <v>175</v>
      </c>
      <c r="D135" s="26" t="s">
        <v>37</v>
      </c>
      <c r="E135" s="25">
        <v>5800</v>
      </c>
      <c r="F135" s="28">
        <v>0.3542</v>
      </c>
      <c r="G135" s="25">
        <f t="shared" si="61"/>
        <v>2054.36</v>
      </c>
      <c r="H135" s="29">
        <f>VLOOKUP(B135,[3]Sheet2!$A:$C,3,0)</f>
        <v>2</v>
      </c>
      <c r="I135" s="25">
        <f>VLOOKUP(B135,[3]实习生!$A:$C,3,0)</f>
        <v>1</v>
      </c>
      <c r="J135" s="30">
        <f>VLOOKUP(B135,[1]查询时间段分门店销售汇总!$D:$L,9,0)</f>
        <v>18257.71</v>
      </c>
      <c r="K135" s="30">
        <f>VLOOKUP(B135,[1]查询时间段分门店销售汇总!$D:$M,10,0)</f>
        <v>6117.77</v>
      </c>
      <c r="L135" s="31">
        <f>E135*1.5</f>
        <v>8700</v>
      </c>
      <c r="M135" s="32">
        <v>0.331177</v>
      </c>
      <c r="N135" s="37">
        <f t="shared" si="62"/>
        <v>2881.2399</v>
      </c>
      <c r="O135" s="37">
        <f t="shared" si="63"/>
        <v>34800</v>
      </c>
      <c r="P135" s="37">
        <f t="shared" si="64"/>
        <v>11524.9596</v>
      </c>
      <c r="Q135" s="81">
        <f t="shared" si="65"/>
        <v>0.52464683908046</v>
      </c>
      <c r="R135" s="81">
        <f t="shared" si="66"/>
        <v>0.530827891145059</v>
      </c>
      <c r="S135" s="82">
        <f t="shared" si="67"/>
        <v>10005</v>
      </c>
      <c r="T135" s="83"/>
      <c r="U135" s="82">
        <f t="shared" si="60"/>
        <v>-165.4229</v>
      </c>
      <c r="V135" s="84">
        <f>U135/2</f>
        <v>-82.71145</v>
      </c>
      <c r="W135" s="32">
        <f t="shared" si="68"/>
        <v>0.31130638</v>
      </c>
      <c r="X135" s="37">
        <f t="shared" si="69"/>
        <v>3114.6203319</v>
      </c>
      <c r="Y135" s="38">
        <f t="shared" si="70"/>
        <v>40020</v>
      </c>
      <c r="Z135" s="38">
        <f t="shared" si="71"/>
        <v>12458.4813276</v>
      </c>
      <c r="AA135" s="81">
        <f t="shared" si="72"/>
        <v>0.456214642678661</v>
      </c>
      <c r="AB135" s="81">
        <f t="shared" si="73"/>
        <v>0.491052628256299</v>
      </c>
      <c r="AC135" s="71"/>
      <c r="AD135" s="71"/>
      <c r="AE135" s="98">
        <f>VLOOKUP(B135,[2]查询时间段分门店销售汇总!$D:$L,9,0)</f>
        <v>11044.76</v>
      </c>
      <c r="AF135" s="98">
        <f>VLOOKUP(B135,[2]查询时间段分门店销售汇总!$D:$M,10,0)</f>
        <v>3318.79</v>
      </c>
      <c r="AG135" s="41">
        <f t="shared" si="74"/>
        <v>7743</v>
      </c>
      <c r="AH135" s="28">
        <v>0.336144655</v>
      </c>
      <c r="AI135" s="43">
        <f t="shared" si="75"/>
        <v>2602.768063665</v>
      </c>
      <c r="AJ135" s="43">
        <f t="shared" si="76"/>
        <v>23229</v>
      </c>
      <c r="AK135" s="43">
        <f t="shared" si="77"/>
        <v>7808.304190995</v>
      </c>
      <c r="AL135" s="28">
        <f t="shared" si="78"/>
        <v>0.475472900253993</v>
      </c>
      <c r="AM135" s="28">
        <f t="shared" si="79"/>
        <v>0.425033389942393</v>
      </c>
      <c r="AN135" s="43">
        <f t="shared" si="80"/>
        <v>8981.88</v>
      </c>
      <c r="AP135" s="28">
        <f t="shared" si="81"/>
        <v>0.3226988688</v>
      </c>
      <c r="AQ135" s="43">
        <f t="shared" si="82"/>
        <v>2898.44251569734</v>
      </c>
      <c r="AR135" s="43">
        <f t="shared" si="83"/>
        <v>26945.64</v>
      </c>
      <c r="AS135" s="43">
        <f t="shared" si="84"/>
        <v>8695.32754709203</v>
      </c>
      <c r="AT135" s="107">
        <f t="shared" si="85"/>
        <v>0.409890431253442</v>
      </c>
      <c r="AU135" s="107">
        <f t="shared" si="86"/>
        <v>0.381675098727005</v>
      </c>
    </row>
    <row r="136" spans="1:47">
      <c r="A136" s="25">
        <v>87</v>
      </c>
      <c r="B136" s="26">
        <v>117310</v>
      </c>
      <c r="C136" s="27" t="s">
        <v>176</v>
      </c>
      <c r="D136" s="26" t="s">
        <v>37</v>
      </c>
      <c r="E136" s="25">
        <v>4200</v>
      </c>
      <c r="F136" s="28">
        <v>0.3033</v>
      </c>
      <c r="G136" s="25">
        <f t="shared" si="61"/>
        <v>1273.86</v>
      </c>
      <c r="H136" s="29">
        <f>VLOOKUP(B136,[3]Sheet2!$A:$C,3,0)</f>
        <v>2</v>
      </c>
      <c r="J136" s="30">
        <f>VLOOKUP(B136,[1]查询时间段分门店销售汇总!$D:$L,9,0)</f>
        <v>13477.65</v>
      </c>
      <c r="K136" s="30">
        <f>VLOOKUP(B136,[1]查询时间段分门店销售汇总!$D:$M,10,0)</f>
        <v>3707.27</v>
      </c>
      <c r="L136" s="31">
        <f>E136*1.55</f>
        <v>6510</v>
      </c>
      <c r="M136" s="32">
        <v>0.2835855</v>
      </c>
      <c r="N136" s="37">
        <f t="shared" si="62"/>
        <v>1846.141605</v>
      </c>
      <c r="O136" s="37">
        <f t="shared" si="63"/>
        <v>26040</v>
      </c>
      <c r="P136" s="37">
        <f t="shared" si="64"/>
        <v>7384.56642</v>
      </c>
      <c r="Q136" s="81">
        <f t="shared" si="65"/>
        <v>0.517574884792627</v>
      </c>
      <c r="R136" s="81">
        <f t="shared" si="66"/>
        <v>0.502029474602518</v>
      </c>
      <c r="S136" s="82">
        <f t="shared" si="67"/>
        <v>7486.5</v>
      </c>
      <c r="T136" s="83"/>
      <c r="U136" s="82">
        <f t="shared" si="60"/>
        <v>-125.6235</v>
      </c>
      <c r="V136" s="84">
        <f>U136/2</f>
        <v>-62.81175</v>
      </c>
      <c r="W136" s="32">
        <f t="shared" si="68"/>
        <v>0.26657037</v>
      </c>
      <c r="X136" s="37">
        <f t="shared" si="69"/>
        <v>1995.679075005</v>
      </c>
      <c r="Y136" s="38">
        <f t="shared" si="70"/>
        <v>29946</v>
      </c>
      <c r="Z136" s="38">
        <f t="shared" si="71"/>
        <v>7982.71630002</v>
      </c>
      <c r="AA136" s="81">
        <f t="shared" si="72"/>
        <v>0.45006511721098</v>
      </c>
      <c r="AB136" s="81">
        <f t="shared" si="73"/>
        <v>0.464412094914448</v>
      </c>
      <c r="AC136" s="71"/>
      <c r="AD136" s="71"/>
      <c r="AE136" s="98">
        <f>VLOOKUP(B136,[2]查询时间段分门店销售汇总!$D:$L,9,0)</f>
        <v>13131.27</v>
      </c>
      <c r="AF136" s="98">
        <f>VLOOKUP(B136,[2]查询时间段分门店销售汇总!$D:$M,10,0)</f>
        <v>3445.57</v>
      </c>
      <c r="AG136" s="41">
        <f t="shared" si="74"/>
        <v>5793.9</v>
      </c>
      <c r="AH136" s="28">
        <v>0.2878392825</v>
      </c>
      <c r="AI136" s="43">
        <f t="shared" si="75"/>
        <v>1667.71201887675</v>
      </c>
      <c r="AJ136" s="43">
        <f t="shared" si="76"/>
        <v>17381.7</v>
      </c>
      <c r="AK136" s="43">
        <f t="shared" si="77"/>
        <v>5003.13605663025</v>
      </c>
      <c r="AL136" s="28">
        <f t="shared" si="78"/>
        <v>0.75546523067364</v>
      </c>
      <c r="AM136" s="28">
        <f t="shared" si="79"/>
        <v>0.68868205081768</v>
      </c>
      <c r="AN136" s="43">
        <f t="shared" si="80"/>
        <v>6720.924</v>
      </c>
      <c r="AP136" s="28">
        <f t="shared" si="81"/>
        <v>0.2763257112</v>
      </c>
      <c r="AQ136" s="43">
        <f t="shared" si="82"/>
        <v>1857.16410422115</v>
      </c>
      <c r="AR136" s="43">
        <f t="shared" si="83"/>
        <v>20162.772</v>
      </c>
      <c r="AS136" s="43">
        <f t="shared" si="84"/>
        <v>5571.49231266345</v>
      </c>
      <c r="AT136" s="107">
        <f t="shared" si="85"/>
        <v>0.651263129891069</v>
      </c>
      <c r="AU136" s="107">
        <f t="shared" si="86"/>
        <v>0.618428565748635</v>
      </c>
    </row>
    <row r="137" spans="1:47">
      <c r="A137" s="25">
        <v>110</v>
      </c>
      <c r="B137" s="26">
        <v>754</v>
      </c>
      <c r="C137" s="27" t="s">
        <v>177</v>
      </c>
      <c r="D137" s="26" t="s">
        <v>53</v>
      </c>
      <c r="E137" s="25">
        <v>3500</v>
      </c>
      <c r="F137" s="28">
        <v>0.29</v>
      </c>
      <c r="G137" s="25">
        <f t="shared" si="61"/>
        <v>1015</v>
      </c>
      <c r="H137" s="29">
        <f>VLOOKUP(B137,[3]Sheet2!$A:$C,3,0)</f>
        <v>2</v>
      </c>
      <c r="J137" s="30">
        <f>VLOOKUP(B137,[1]查询时间段分门店销售汇总!$D:$L,9,0)</f>
        <v>11391.6</v>
      </c>
      <c r="K137" s="30">
        <f>VLOOKUP(B137,[1]查询时间段分门店销售汇总!$D:$M,10,0)</f>
        <v>3657.58</v>
      </c>
      <c r="L137" s="31">
        <f>E137*1.6</f>
        <v>5600</v>
      </c>
      <c r="M137" s="32">
        <v>0.27115</v>
      </c>
      <c r="N137" s="37">
        <f t="shared" si="62"/>
        <v>1518.44</v>
      </c>
      <c r="O137" s="37">
        <f t="shared" si="63"/>
        <v>22400</v>
      </c>
      <c r="P137" s="37">
        <f t="shared" si="64"/>
        <v>6073.76</v>
      </c>
      <c r="Q137" s="81">
        <f t="shared" si="65"/>
        <v>0.508553571428571</v>
      </c>
      <c r="R137" s="81">
        <f t="shared" si="66"/>
        <v>0.602193698796133</v>
      </c>
      <c r="S137" s="82">
        <f t="shared" si="67"/>
        <v>6440</v>
      </c>
      <c r="T137" s="83"/>
      <c r="U137" s="82">
        <f t="shared" si="60"/>
        <v>-110.084</v>
      </c>
      <c r="V137" s="84">
        <f>U137/2</f>
        <v>-55.042</v>
      </c>
      <c r="W137" s="32">
        <f t="shared" si="68"/>
        <v>0.254881</v>
      </c>
      <c r="X137" s="37">
        <f t="shared" si="69"/>
        <v>1641.43364</v>
      </c>
      <c r="Y137" s="38">
        <f t="shared" si="70"/>
        <v>25760</v>
      </c>
      <c r="Z137" s="38">
        <f t="shared" si="71"/>
        <v>6565.73456</v>
      </c>
      <c r="AA137" s="81">
        <f t="shared" si="72"/>
        <v>0.44222049689441</v>
      </c>
      <c r="AB137" s="81">
        <f t="shared" si="73"/>
        <v>0.557070951707801</v>
      </c>
      <c r="AC137" s="71"/>
      <c r="AD137" s="71"/>
      <c r="AE137" s="98">
        <f>VLOOKUP(B137,[2]查询时间段分门店销售汇总!$D:$L,9,0)</f>
        <v>10637.73</v>
      </c>
      <c r="AF137" s="98">
        <f>VLOOKUP(B137,[2]查询时间段分门店销售汇总!$D:$M,10,0)</f>
        <v>2960.5</v>
      </c>
      <c r="AG137" s="41">
        <f t="shared" si="74"/>
        <v>4984</v>
      </c>
      <c r="AH137" s="28">
        <v>0.27521725</v>
      </c>
      <c r="AI137" s="43">
        <f t="shared" si="75"/>
        <v>1371.682774</v>
      </c>
      <c r="AJ137" s="43">
        <f t="shared" si="76"/>
        <v>14952</v>
      </c>
      <c r="AK137" s="43">
        <f t="shared" si="77"/>
        <v>4115.048322</v>
      </c>
      <c r="AL137" s="28">
        <f t="shared" si="78"/>
        <v>0.711458667736758</v>
      </c>
      <c r="AM137" s="28">
        <f t="shared" si="79"/>
        <v>0.71943262103934</v>
      </c>
      <c r="AN137" s="43">
        <f t="shared" si="80"/>
        <v>5781.44</v>
      </c>
      <c r="AP137" s="28">
        <f t="shared" si="81"/>
        <v>0.26420856</v>
      </c>
      <c r="AQ137" s="43">
        <f t="shared" si="82"/>
        <v>1527.5059371264</v>
      </c>
      <c r="AR137" s="43">
        <f t="shared" si="83"/>
        <v>17344.32</v>
      </c>
      <c r="AS137" s="43">
        <f t="shared" si="84"/>
        <v>4582.5178113792</v>
      </c>
      <c r="AT137" s="107">
        <f t="shared" si="85"/>
        <v>0.613326437704101</v>
      </c>
      <c r="AU137" s="107">
        <f t="shared" si="86"/>
        <v>0.646042224352856</v>
      </c>
    </row>
    <row r="138" spans="1:47">
      <c r="A138" s="25">
        <v>133</v>
      </c>
      <c r="B138" s="26">
        <v>371</v>
      </c>
      <c r="C138" s="27" t="s">
        <v>178</v>
      </c>
      <c r="D138" s="26" t="s">
        <v>59</v>
      </c>
      <c r="E138" s="25">
        <v>2700</v>
      </c>
      <c r="F138" s="28">
        <v>0.2996</v>
      </c>
      <c r="G138" s="25">
        <f t="shared" si="61"/>
        <v>808.92</v>
      </c>
      <c r="H138" s="29">
        <f>VLOOKUP(B138,[3]Sheet2!$A:$C,3,0)</f>
        <v>2</v>
      </c>
      <c r="J138" s="30">
        <f>VLOOKUP(B138,[1]查询时间段分门店销售汇总!$D:$L,9,0)</f>
        <v>8652.15</v>
      </c>
      <c r="K138" s="30">
        <f>VLOOKUP(B138,[1]查询时间段分门店销售汇总!$D:$M,10,0)</f>
        <v>2717.75</v>
      </c>
      <c r="L138" s="31">
        <f>E138*1.6</f>
        <v>4320</v>
      </c>
      <c r="M138" s="32">
        <v>0.280126</v>
      </c>
      <c r="N138" s="37">
        <f t="shared" si="62"/>
        <v>1210.14432</v>
      </c>
      <c r="O138" s="37">
        <f t="shared" si="63"/>
        <v>17280</v>
      </c>
      <c r="P138" s="37">
        <f t="shared" si="64"/>
        <v>4840.57728</v>
      </c>
      <c r="Q138" s="81">
        <f t="shared" si="65"/>
        <v>0.500703125</v>
      </c>
      <c r="R138" s="81">
        <f t="shared" si="66"/>
        <v>0.561451629174279</v>
      </c>
      <c r="S138" s="82">
        <f t="shared" si="67"/>
        <v>4968</v>
      </c>
      <c r="T138" s="83"/>
      <c r="U138" s="82">
        <f t="shared" si="60"/>
        <v>-86.2785</v>
      </c>
      <c r="V138" s="84">
        <f>U138/2</f>
        <v>-43.13925</v>
      </c>
      <c r="W138" s="32">
        <f t="shared" si="68"/>
        <v>0.26331844</v>
      </c>
      <c r="X138" s="37">
        <f t="shared" si="69"/>
        <v>1308.16600992</v>
      </c>
      <c r="Y138" s="38">
        <f t="shared" si="70"/>
        <v>19872</v>
      </c>
      <c r="Z138" s="38">
        <f t="shared" si="71"/>
        <v>5232.66403968</v>
      </c>
      <c r="AA138" s="81">
        <f t="shared" si="72"/>
        <v>0.43539402173913</v>
      </c>
      <c r="AB138" s="81">
        <f t="shared" si="73"/>
        <v>0.519381710614504</v>
      </c>
      <c r="AC138" s="71"/>
      <c r="AD138" s="71"/>
      <c r="AE138" s="98">
        <f>VLOOKUP(B138,[2]查询时间段分门店销售汇总!$D:$L,9,0)</f>
        <v>10234.12</v>
      </c>
      <c r="AF138" s="98">
        <f>VLOOKUP(B138,[2]查询时间段分门店销售汇总!$D:$M,10,0)</f>
        <v>3076.45</v>
      </c>
      <c r="AG138" s="41">
        <f t="shared" si="74"/>
        <v>3844.8</v>
      </c>
      <c r="AH138" s="28">
        <v>0.28432789</v>
      </c>
      <c r="AI138" s="43">
        <f t="shared" si="75"/>
        <v>1093.183871472</v>
      </c>
      <c r="AJ138" s="43">
        <f t="shared" si="76"/>
        <v>11534.4</v>
      </c>
      <c r="AK138" s="43">
        <f t="shared" si="77"/>
        <v>3279.551614416</v>
      </c>
      <c r="AL138" s="28">
        <f t="shared" si="78"/>
        <v>0.887269385490359</v>
      </c>
      <c r="AM138" s="28">
        <f t="shared" si="79"/>
        <v>0.938070310123121</v>
      </c>
      <c r="AN138" s="43">
        <f t="shared" si="80"/>
        <v>4459.968</v>
      </c>
      <c r="AP138" s="28">
        <f t="shared" si="81"/>
        <v>0.2729547744</v>
      </c>
      <c r="AQ138" s="43">
        <f t="shared" si="82"/>
        <v>1217.36955927122</v>
      </c>
      <c r="AR138" s="43">
        <f t="shared" si="83"/>
        <v>13379.904</v>
      </c>
      <c r="AS138" s="43">
        <f t="shared" si="84"/>
        <v>3652.10867781366</v>
      </c>
      <c r="AT138" s="107">
        <f t="shared" si="85"/>
        <v>0.764887401284793</v>
      </c>
      <c r="AU138" s="107">
        <f t="shared" si="86"/>
        <v>0.842376356073205</v>
      </c>
    </row>
    <row r="139" spans="1:47">
      <c r="A139" s="25">
        <v>56</v>
      </c>
      <c r="B139" s="26">
        <v>105751</v>
      </c>
      <c r="C139" s="27" t="s">
        <v>179</v>
      </c>
      <c r="D139" s="26" t="s">
        <v>51</v>
      </c>
      <c r="E139" s="25">
        <v>5800</v>
      </c>
      <c r="F139" s="28">
        <v>0.33</v>
      </c>
      <c r="G139" s="25">
        <f t="shared" si="61"/>
        <v>1914</v>
      </c>
      <c r="H139" s="29">
        <f>VLOOKUP(B139,[3]Sheet2!$A:$C,3,0)</f>
        <v>3</v>
      </c>
      <c r="I139" s="25">
        <f>VLOOKUP(B139,[3]实习生!$A:$C,3,0)</f>
        <v>1</v>
      </c>
      <c r="J139" s="30">
        <f>VLOOKUP(B139,[1]查询时间段分门店销售汇总!$D:$L,9,0)</f>
        <v>17226.17</v>
      </c>
      <c r="K139" s="30">
        <f>VLOOKUP(B139,[1]查询时间段分门店销售汇总!$D:$M,10,0)</f>
        <v>5522.94</v>
      </c>
      <c r="L139" s="31">
        <f>E139*1.5</f>
        <v>8700</v>
      </c>
      <c r="M139" s="32">
        <v>0.30855</v>
      </c>
      <c r="N139" s="37">
        <f t="shared" si="62"/>
        <v>2684.385</v>
      </c>
      <c r="O139" s="37">
        <f t="shared" si="63"/>
        <v>34800</v>
      </c>
      <c r="P139" s="37">
        <f t="shared" si="64"/>
        <v>10737.54</v>
      </c>
      <c r="Q139" s="81">
        <f t="shared" si="65"/>
        <v>0.495004885057471</v>
      </c>
      <c r="R139" s="81">
        <f t="shared" si="66"/>
        <v>0.51435803731581</v>
      </c>
      <c r="S139" s="82">
        <f t="shared" si="67"/>
        <v>10005</v>
      </c>
      <c r="T139" s="83"/>
      <c r="U139" s="82">
        <f t="shared" si="60"/>
        <v>-175.7383</v>
      </c>
      <c r="V139" s="84">
        <f>U139/2</f>
        <v>-87.86915</v>
      </c>
      <c r="W139" s="32">
        <f t="shared" si="68"/>
        <v>0.290037</v>
      </c>
      <c r="X139" s="37">
        <f t="shared" si="69"/>
        <v>2901.820185</v>
      </c>
      <c r="Y139" s="38">
        <f t="shared" si="70"/>
        <v>40020</v>
      </c>
      <c r="Z139" s="38">
        <f t="shared" si="71"/>
        <v>11607.28074</v>
      </c>
      <c r="AA139" s="81">
        <f t="shared" si="72"/>
        <v>0.430439030484758</v>
      </c>
      <c r="AB139" s="81">
        <f t="shared" si="73"/>
        <v>0.475816870782433</v>
      </c>
      <c r="AC139" s="71"/>
      <c r="AD139" s="71"/>
      <c r="AE139" s="98">
        <f>VLOOKUP(B139,[2]查询时间段分门店销售汇总!$D:$L,9,0)</f>
        <v>15332.59</v>
      </c>
      <c r="AF139" s="98">
        <f>VLOOKUP(B139,[2]查询时间段分门店销售汇总!$D:$M,10,0)</f>
        <v>4439.06</v>
      </c>
      <c r="AG139" s="41">
        <f t="shared" si="74"/>
        <v>7743</v>
      </c>
      <c r="AH139" s="28">
        <v>0.31317825</v>
      </c>
      <c r="AI139" s="43">
        <f t="shared" si="75"/>
        <v>2424.93918975</v>
      </c>
      <c r="AJ139" s="43">
        <f t="shared" si="76"/>
        <v>23229</v>
      </c>
      <c r="AK139" s="43">
        <f t="shared" si="77"/>
        <v>7274.81756925</v>
      </c>
      <c r="AL139" s="28">
        <f t="shared" si="78"/>
        <v>0.660062421972534</v>
      </c>
      <c r="AM139" s="28">
        <f t="shared" si="79"/>
        <v>0.610195370226672</v>
      </c>
      <c r="AN139" s="43">
        <f t="shared" si="80"/>
        <v>8981.88</v>
      </c>
      <c r="AP139" s="28">
        <f t="shared" si="81"/>
        <v>0.30065112</v>
      </c>
      <c r="AQ139" s="43">
        <f t="shared" si="82"/>
        <v>2700.4122817056</v>
      </c>
      <c r="AR139" s="43">
        <f t="shared" si="83"/>
        <v>26945.64</v>
      </c>
      <c r="AS139" s="43">
        <f t="shared" si="84"/>
        <v>8101.2368451168</v>
      </c>
      <c r="AT139" s="107">
        <f t="shared" si="85"/>
        <v>0.569019329286668</v>
      </c>
      <c r="AU139" s="107">
        <f t="shared" si="86"/>
        <v>0.547948428723664</v>
      </c>
    </row>
    <row r="140" spans="1:47">
      <c r="A140" s="25">
        <v>143</v>
      </c>
      <c r="B140" s="26">
        <v>591</v>
      </c>
      <c r="C140" s="27" t="s">
        <v>180</v>
      </c>
      <c r="D140" s="26" t="s">
        <v>61</v>
      </c>
      <c r="E140" s="25">
        <v>1200</v>
      </c>
      <c r="F140" s="28">
        <v>0.2835</v>
      </c>
      <c r="G140" s="25">
        <f t="shared" si="61"/>
        <v>340.2</v>
      </c>
      <c r="H140" s="29">
        <f>VLOOKUP(B140,[3]Sheet2!$A:$C,3,0)</f>
        <v>2</v>
      </c>
      <c r="J140" s="30">
        <f>VLOOKUP(B140,[1]查询时间段分门店销售汇总!$D:$L,9,0)</f>
        <v>5608.53</v>
      </c>
      <c r="K140" s="30">
        <f>VLOOKUP(B140,[1]查询时间段分门店销售汇总!$D:$M,10,0)</f>
        <v>1775.84</v>
      </c>
      <c r="L140" s="31">
        <v>3000</v>
      </c>
      <c r="M140" s="32">
        <v>0.2650725</v>
      </c>
      <c r="N140" s="37">
        <f t="shared" si="62"/>
        <v>795.2175</v>
      </c>
      <c r="O140" s="37">
        <f t="shared" si="63"/>
        <v>12000</v>
      </c>
      <c r="P140" s="37">
        <f t="shared" si="64"/>
        <v>3180.87</v>
      </c>
      <c r="Q140" s="81">
        <f t="shared" si="65"/>
        <v>0.4673775</v>
      </c>
      <c r="R140" s="81">
        <f t="shared" si="66"/>
        <v>0.558287512535878</v>
      </c>
      <c r="S140" s="82">
        <f t="shared" si="67"/>
        <v>3450</v>
      </c>
      <c r="T140" s="83"/>
      <c r="U140" s="82">
        <f t="shared" si="60"/>
        <v>-63.9147</v>
      </c>
      <c r="V140" s="84">
        <f>U140/2</f>
        <v>-31.95735</v>
      </c>
      <c r="W140" s="32">
        <f t="shared" si="68"/>
        <v>0.24916815</v>
      </c>
      <c r="X140" s="37">
        <f t="shared" si="69"/>
        <v>859.6301175</v>
      </c>
      <c r="Y140" s="38">
        <f t="shared" si="70"/>
        <v>13800</v>
      </c>
      <c r="Z140" s="38">
        <f t="shared" si="71"/>
        <v>3438.52047</v>
      </c>
      <c r="AA140" s="81">
        <f t="shared" si="72"/>
        <v>0.406415217391304</v>
      </c>
      <c r="AB140" s="81">
        <f t="shared" si="73"/>
        <v>0.516454683196928</v>
      </c>
      <c r="AC140" s="71"/>
      <c r="AD140" s="71"/>
      <c r="AE140" s="98">
        <f>VLOOKUP(B140,[2]查询时间段分门店销售汇总!$D:$L,9,0)</f>
        <v>3695.63</v>
      </c>
      <c r="AF140" s="98">
        <f>VLOOKUP(B140,[2]查询时间段分门店销售汇总!$D:$M,10,0)</f>
        <v>831.24</v>
      </c>
      <c r="AG140" s="41">
        <f t="shared" si="74"/>
        <v>2670</v>
      </c>
      <c r="AH140" s="28">
        <v>0.2690485875</v>
      </c>
      <c r="AI140" s="43">
        <f t="shared" si="75"/>
        <v>718.359728625</v>
      </c>
      <c r="AJ140" s="43">
        <f t="shared" si="76"/>
        <v>8010</v>
      </c>
      <c r="AK140" s="43">
        <f t="shared" si="77"/>
        <v>2155.079185875</v>
      </c>
      <c r="AL140" s="28">
        <f t="shared" si="78"/>
        <v>0.461377028714107</v>
      </c>
      <c r="AM140" s="28">
        <f t="shared" si="79"/>
        <v>0.385712045036759</v>
      </c>
      <c r="AN140" s="43">
        <f t="shared" si="80"/>
        <v>3097.2</v>
      </c>
      <c r="AP140" s="28">
        <f t="shared" si="81"/>
        <v>0.258286644</v>
      </c>
      <c r="AQ140" s="43">
        <f t="shared" si="82"/>
        <v>799.9653937968</v>
      </c>
      <c r="AR140" s="43">
        <f t="shared" si="83"/>
        <v>9291.6</v>
      </c>
      <c r="AS140" s="43">
        <f t="shared" si="84"/>
        <v>2399.8961813904</v>
      </c>
      <c r="AT140" s="107">
        <f t="shared" si="85"/>
        <v>0.397738817856989</v>
      </c>
      <c r="AU140" s="107">
        <f t="shared" si="86"/>
        <v>0.346364982971228</v>
      </c>
    </row>
    <row r="141" spans="1:47">
      <c r="A141" s="25">
        <v>92</v>
      </c>
      <c r="B141" s="26">
        <v>720</v>
      </c>
      <c r="C141" s="27" t="s">
        <v>181</v>
      </c>
      <c r="D141" s="26" t="s">
        <v>61</v>
      </c>
      <c r="E141" s="25">
        <v>3900</v>
      </c>
      <c r="F141" s="28">
        <v>0.3127</v>
      </c>
      <c r="G141" s="25">
        <f t="shared" si="61"/>
        <v>1219.53</v>
      </c>
      <c r="H141" s="29">
        <f>VLOOKUP(B141,[3]Sheet2!$A:$C,3,0)</f>
        <v>2</v>
      </c>
      <c r="J141" s="30">
        <f>VLOOKUP(B141,[1]查询时间段分门店销售汇总!$D:$L,9,0)</f>
        <v>11609.12</v>
      </c>
      <c r="K141" s="30">
        <f>VLOOKUP(B141,[1]查询时间段分门店销售汇总!$D:$M,10,0)</f>
        <v>3224.31</v>
      </c>
      <c r="L141" s="31">
        <f>E141*1.6</f>
        <v>6240</v>
      </c>
      <c r="M141" s="32">
        <v>0.2923745</v>
      </c>
      <c r="N141" s="37">
        <f t="shared" si="62"/>
        <v>1824.41688</v>
      </c>
      <c r="O141" s="37">
        <f t="shared" si="63"/>
        <v>24960</v>
      </c>
      <c r="P141" s="37">
        <f t="shared" si="64"/>
        <v>7297.66752</v>
      </c>
      <c r="Q141" s="81">
        <f t="shared" si="65"/>
        <v>0.465108974358974</v>
      </c>
      <c r="R141" s="81">
        <f t="shared" si="66"/>
        <v>0.441827473115684</v>
      </c>
      <c r="S141" s="82">
        <f t="shared" si="67"/>
        <v>7176</v>
      </c>
      <c r="T141" s="83"/>
      <c r="U141" s="82">
        <f t="shared" si="60"/>
        <v>-133.5088</v>
      </c>
      <c r="V141" s="84">
        <f>U141/2</f>
        <v>-66.7544</v>
      </c>
      <c r="W141" s="32">
        <f t="shared" si="68"/>
        <v>0.27483203</v>
      </c>
      <c r="X141" s="37">
        <f t="shared" si="69"/>
        <v>1972.19464728</v>
      </c>
      <c r="Y141" s="38">
        <f t="shared" si="70"/>
        <v>28704</v>
      </c>
      <c r="Z141" s="38">
        <f t="shared" si="71"/>
        <v>7888.77858912</v>
      </c>
      <c r="AA141" s="81">
        <f t="shared" si="72"/>
        <v>0.404442586399108</v>
      </c>
      <c r="AB141" s="81">
        <f t="shared" si="73"/>
        <v>0.408721066712011</v>
      </c>
      <c r="AC141" s="71"/>
      <c r="AD141" s="71"/>
      <c r="AE141" s="98">
        <f>VLOOKUP(B141,[2]查询时间段分门店销售汇总!$D:$L,9,0)</f>
        <v>14088.44</v>
      </c>
      <c r="AF141" s="98">
        <f>VLOOKUP(B141,[2]查询时间段分门店销售汇总!$D:$M,10,0)</f>
        <v>3385.42</v>
      </c>
      <c r="AG141" s="41">
        <f t="shared" si="74"/>
        <v>5553.6</v>
      </c>
      <c r="AH141" s="28">
        <v>0.2967601175</v>
      </c>
      <c r="AI141" s="43">
        <f t="shared" si="75"/>
        <v>1648.086988548</v>
      </c>
      <c r="AJ141" s="43">
        <f t="shared" si="76"/>
        <v>16660.8</v>
      </c>
      <c r="AK141" s="43">
        <f t="shared" si="77"/>
        <v>4944.260965644</v>
      </c>
      <c r="AL141" s="28">
        <f t="shared" si="78"/>
        <v>0.845604052626524</v>
      </c>
      <c r="AM141" s="28">
        <f t="shared" si="79"/>
        <v>0.684717093924479</v>
      </c>
      <c r="AN141" s="43">
        <f t="shared" si="80"/>
        <v>6442.176</v>
      </c>
      <c r="AP141" s="28">
        <f t="shared" si="81"/>
        <v>0.2848897128</v>
      </c>
      <c r="AQ141" s="43">
        <f t="shared" si="82"/>
        <v>1835.30967044705</v>
      </c>
      <c r="AR141" s="43">
        <f t="shared" si="83"/>
        <v>19326.528</v>
      </c>
      <c r="AS141" s="43">
        <f t="shared" si="84"/>
        <v>5505.92901134116</v>
      </c>
      <c r="AT141" s="107">
        <f t="shared" si="85"/>
        <v>0.728969010884935</v>
      </c>
      <c r="AU141" s="107">
        <f t="shared" si="86"/>
        <v>0.614868080032758</v>
      </c>
    </row>
    <row r="142" spans="1:47">
      <c r="A142" s="25">
        <v>116</v>
      </c>
      <c r="B142" s="26">
        <v>104533</v>
      </c>
      <c r="C142" s="27" t="s">
        <v>182</v>
      </c>
      <c r="D142" s="26" t="s">
        <v>61</v>
      </c>
      <c r="E142" s="25">
        <v>3400</v>
      </c>
      <c r="F142" s="28">
        <v>0.3367</v>
      </c>
      <c r="G142" s="25">
        <f t="shared" si="61"/>
        <v>1144.78</v>
      </c>
      <c r="H142" s="29">
        <f>VLOOKUP(B142,[3]Sheet2!$A:$C,3,0)</f>
        <v>2</v>
      </c>
      <c r="J142" s="30">
        <f>VLOOKUP(B142,[1]查询时间段分门店销售汇总!$D:$L,9,0)</f>
        <v>9697.86</v>
      </c>
      <c r="K142" s="30">
        <f>VLOOKUP(B142,[1]查询时间段分门店销售汇总!$D:$M,10,0)</f>
        <v>3271.6</v>
      </c>
      <c r="L142" s="31">
        <f>E142*1.6</f>
        <v>5440</v>
      </c>
      <c r="M142" s="32">
        <v>0.3148145</v>
      </c>
      <c r="N142" s="37">
        <f t="shared" si="62"/>
        <v>1712.59088</v>
      </c>
      <c r="O142" s="37">
        <f t="shared" si="63"/>
        <v>21760</v>
      </c>
      <c r="P142" s="37">
        <f t="shared" si="64"/>
        <v>6850.36352</v>
      </c>
      <c r="Q142" s="81">
        <f t="shared" si="65"/>
        <v>0.445673713235294</v>
      </c>
      <c r="R142" s="81">
        <f t="shared" si="66"/>
        <v>0.477580494881533</v>
      </c>
      <c r="S142" s="82">
        <f t="shared" si="67"/>
        <v>6256</v>
      </c>
      <c r="T142" s="83"/>
      <c r="U142" s="82">
        <f t="shared" si="60"/>
        <v>-120.6214</v>
      </c>
      <c r="V142" s="84">
        <f>U142/2</f>
        <v>-60.3107</v>
      </c>
      <c r="W142" s="32">
        <f t="shared" si="68"/>
        <v>0.29592563</v>
      </c>
      <c r="X142" s="37">
        <f t="shared" si="69"/>
        <v>1851.31074128</v>
      </c>
      <c r="Y142" s="38">
        <f t="shared" si="70"/>
        <v>25024</v>
      </c>
      <c r="Z142" s="38">
        <f t="shared" si="71"/>
        <v>7405.24296512</v>
      </c>
      <c r="AA142" s="81">
        <f t="shared" si="72"/>
        <v>0.387542359335038</v>
      </c>
      <c r="AB142" s="81">
        <f t="shared" si="73"/>
        <v>0.441795092397348</v>
      </c>
      <c r="AC142" s="71"/>
      <c r="AD142" s="71"/>
      <c r="AE142" s="98">
        <f>VLOOKUP(B142,[2]查询时间段分门店销售汇总!$D:$L,9,0)</f>
        <v>9482.19</v>
      </c>
      <c r="AF142" s="98">
        <f>VLOOKUP(B142,[2]查询时间段分门店销售汇总!$D:$M,10,0)</f>
        <v>2926.56</v>
      </c>
      <c r="AG142" s="41">
        <f t="shared" si="74"/>
        <v>4841.6</v>
      </c>
      <c r="AH142" s="28">
        <v>0.3195367175</v>
      </c>
      <c r="AI142" s="43">
        <f t="shared" si="75"/>
        <v>1547.068971448</v>
      </c>
      <c r="AJ142" s="43">
        <f t="shared" si="76"/>
        <v>14524.8</v>
      </c>
      <c r="AK142" s="43">
        <f t="shared" si="77"/>
        <v>4641.206914344</v>
      </c>
      <c r="AL142" s="28">
        <f t="shared" si="78"/>
        <v>0.652827577660278</v>
      </c>
      <c r="AM142" s="28">
        <f t="shared" si="79"/>
        <v>0.63056012240162</v>
      </c>
      <c r="AN142" s="43">
        <f t="shared" si="80"/>
        <v>5616.256</v>
      </c>
      <c r="AP142" s="28">
        <f t="shared" si="81"/>
        <v>0.3067552488</v>
      </c>
      <c r="AQ142" s="43">
        <f t="shared" si="82"/>
        <v>1722.81600660449</v>
      </c>
      <c r="AR142" s="43">
        <f t="shared" si="83"/>
        <v>16848.768</v>
      </c>
      <c r="AS142" s="43">
        <f t="shared" si="84"/>
        <v>5168.44801981348</v>
      </c>
      <c r="AT142" s="107">
        <f t="shared" si="85"/>
        <v>0.562782394534722</v>
      </c>
      <c r="AU142" s="107">
        <f t="shared" si="86"/>
        <v>0.566235742099156</v>
      </c>
    </row>
    <row r="143" spans="1:47">
      <c r="A143" s="25">
        <v>141</v>
      </c>
      <c r="B143" s="26">
        <v>122718</v>
      </c>
      <c r="C143" s="27" t="s">
        <v>183</v>
      </c>
      <c r="D143" s="26" t="s">
        <v>61</v>
      </c>
      <c r="E143" s="25">
        <v>1500</v>
      </c>
      <c r="F143" s="28">
        <v>0.26</v>
      </c>
      <c r="G143" s="25">
        <f t="shared" si="61"/>
        <v>390</v>
      </c>
      <c r="H143" s="29">
        <f>VLOOKUP(B143,[3]Sheet2!$A:$C,3,0)</f>
        <v>2</v>
      </c>
      <c r="J143" s="30">
        <f>VLOOKUP(B143,[1]查询时间段分门店销售汇总!$D:$L,9,0)</f>
        <v>4891.48</v>
      </c>
      <c r="K143" s="30">
        <f>VLOOKUP(B143,[1]查询时间段分门店销售汇总!$D:$M,10,0)</f>
        <v>1422.05</v>
      </c>
      <c r="L143" s="31">
        <v>3000</v>
      </c>
      <c r="M143" s="32">
        <v>0.2431</v>
      </c>
      <c r="N143" s="37">
        <f t="shared" si="62"/>
        <v>729.3</v>
      </c>
      <c r="O143" s="37">
        <f t="shared" si="63"/>
        <v>12000</v>
      </c>
      <c r="P143" s="37">
        <f t="shared" si="64"/>
        <v>2917.2</v>
      </c>
      <c r="Q143" s="81">
        <f t="shared" si="65"/>
        <v>0.407623333333333</v>
      </c>
      <c r="R143" s="81">
        <f t="shared" si="66"/>
        <v>0.487470862470862</v>
      </c>
      <c r="S143" s="82">
        <f t="shared" si="67"/>
        <v>3450</v>
      </c>
      <c r="T143" s="83"/>
      <c r="U143" s="82">
        <f t="shared" si="60"/>
        <v>-71.0852</v>
      </c>
      <c r="V143" s="84">
        <f>U143/2</f>
        <v>-35.5426</v>
      </c>
      <c r="W143" s="32">
        <f t="shared" si="68"/>
        <v>0.228514</v>
      </c>
      <c r="X143" s="37">
        <f t="shared" si="69"/>
        <v>788.3733</v>
      </c>
      <c r="Y143" s="38">
        <f t="shared" si="70"/>
        <v>13800</v>
      </c>
      <c r="Z143" s="38">
        <f t="shared" si="71"/>
        <v>3153.4932</v>
      </c>
      <c r="AA143" s="81">
        <f t="shared" si="72"/>
        <v>0.354455072463768</v>
      </c>
      <c r="AB143" s="81">
        <f t="shared" si="73"/>
        <v>0.450944368613194</v>
      </c>
      <c r="AC143" s="71"/>
      <c r="AD143" s="71"/>
      <c r="AE143" s="98">
        <f>VLOOKUP(B143,[2]查询时间段分门店销售汇总!$D:$L,9,0)</f>
        <v>5398.83</v>
      </c>
      <c r="AF143" s="98">
        <f>VLOOKUP(B143,[2]查询时间段分门店销售汇总!$D:$M,10,0)</f>
        <v>1393.35</v>
      </c>
      <c r="AG143" s="41">
        <f t="shared" si="74"/>
        <v>2670</v>
      </c>
      <c r="AH143" s="28">
        <v>0.2467465</v>
      </c>
      <c r="AI143" s="43">
        <f t="shared" si="75"/>
        <v>658.813155</v>
      </c>
      <c r="AJ143" s="43">
        <f t="shared" si="76"/>
        <v>8010</v>
      </c>
      <c r="AK143" s="43">
        <f t="shared" si="77"/>
        <v>1976.439465</v>
      </c>
      <c r="AL143" s="28">
        <f t="shared" si="78"/>
        <v>0.674011235955056</v>
      </c>
      <c r="AM143" s="28">
        <f t="shared" si="79"/>
        <v>0.704979851229595</v>
      </c>
      <c r="AN143" s="43">
        <f t="shared" si="80"/>
        <v>3097.2</v>
      </c>
      <c r="AP143" s="28">
        <f t="shared" si="81"/>
        <v>0.23687664</v>
      </c>
      <c r="AQ143" s="43">
        <f t="shared" si="82"/>
        <v>733.654329408</v>
      </c>
      <c r="AR143" s="43">
        <f t="shared" si="83"/>
        <v>9291.6</v>
      </c>
      <c r="AS143" s="43">
        <f t="shared" si="84"/>
        <v>2200.962988224</v>
      </c>
      <c r="AT143" s="107">
        <f t="shared" si="85"/>
        <v>0.581044168926773</v>
      </c>
      <c r="AU143" s="107">
        <f t="shared" si="86"/>
        <v>0.633063803187495</v>
      </c>
    </row>
    <row r="144" spans="1:47">
      <c r="A144" s="25">
        <v>138</v>
      </c>
      <c r="B144" s="26">
        <v>128640</v>
      </c>
      <c r="C144" s="27" t="s">
        <v>184</v>
      </c>
      <c r="D144" s="26" t="s">
        <v>42</v>
      </c>
      <c r="E144" s="25">
        <v>2000</v>
      </c>
      <c r="F144" s="28">
        <v>0.25</v>
      </c>
      <c r="G144" s="25">
        <f t="shared" si="61"/>
        <v>500</v>
      </c>
      <c r="H144" s="29">
        <f>VLOOKUP(B144,[3]Sheet2!$A:$C,3,0)</f>
        <v>2</v>
      </c>
      <c r="J144" s="30">
        <f>VLOOKUP(B144,[1]查询时间段分门店销售汇总!$D:$L,9,0)</f>
        <v>4661.15</v>
      </c>
      <c r="K144" s="30">
        <f>VLOOKUP(B144,[1]查询时间段分门店销售汇总!$D:$M,10,0)</f>
        <v>756.98</v>
      </c>
      <c r="L144" s="31">
        <f>E144*1.6</f>
        <v>3200</v>
      </c>
      <c r="M144" s="32">
        <v>0.23375</v>
      </c>
      <c r="N144" s="37">
        <f t="shared" si="62"/>
        <v>748</v>
      </c>
      <c r="O144" s="37">
        <f t="shared" si="63"/>
        <v>12800</v>
      </c>
      <c r="P144" s="37">
        <f t="shared" si="64"/>
        <v>2992</v>
      </c>
      <c r="Q144" s="81">
        <f t="shared" si="65"/>
        <v>0.36415234375</v>
      </c>
      <c r="R144" s="81">
        <f t="shared" si="66"/>
        <v>0.253001336898396</v>
      </c>
      <c r="S144" s="82">
        <f t="shared" si="67"/>
        <v>3680</v>
      </c>
      <c r="T144" s="83"/>
      <c r="U144" s="82">
        <f t="shared" si="60"/>
        <v>-81.3885</v>
      </c>
      <c r="V144" s="84">
        <f>U144/2</f>
        <v>-40.69425</v>
      </c>
      <c r="W144" s="32">
        <f t="shared" si="68"/>
        <v>0.219725</v>
      </c>
      <c r="X144" s="37">
        <f t="shared" si="69"/>
        <v>808.588</v>
      </c>
      <c r="Y144" s="38">
        <f t="shared" si="70"/>
        <v>14720</v>
      </c>
      <c r="Z144" s="38">
        <f t="shared" si="71"/>
        <v>3234.352</v>
      </c>
      <c r="AA144" s="81">
        <f t="shared" si="72"/>
        <v>0.316654211956522</v>
      </c>
      <c r="AB144" s="81">
        <f t="shared" si="73"/>
        <v>0.23404378991526</v>
      </c>
      <c r="AC144" s="71"/>
      <c r="AD144" s="71"/>
      <c r="AE144" s="98">
        <f>VLOOKUP(B144,[2]查询时间段分门店销售汇总!$D:$L,9,0)</f>
        <v>6690.57</v>
      </c>
      <c r="AF144" s="98">
        <f>VLOOKUP(B144,[2]查询时间段分门店销售汇总!$D:$M,10,0)</f>
        <v>1289.44</v>
      </c>
      <c r="AG144" s="41">
        <f t="shared" si="74"/>
        <v>2848</v>
      </c>
      <c r="AH144" s="28">
        <v>0.23725625</v>
      </c>
      <c r="AI144" s="43">
        <f t="shared" si="75"/>
        <v>675.7058</v>
      </c>
      <c r="AJ144" s="43">
        <f t="shared" si="76"/>
        <v>8544</v>
      </c>
      <c r="AK144" s="43">
        <f t="shared" si="77"/>
        <v>2027.1174</v>
      </c>
      <c r="AL144" s="28">
        <f t="shared" si="78"/>
        <v>0.783072331460674</v>
      </c>
      <c r="AM144" s="28">
        <f t="shared" si="79"/>
        <v>0.636095373657194</v>
      </c>
      <c r="AN144" s="43">
        <f t="shared" si="80"/>
        <v>3303.68</v>
      </c>
      <c r="AP144" s="28">
        <f t="shared" si="81"/>
        <v>0.227766</v>
      </c>
      <c r="AQ144" s="43">
        <f t="shared" si="82"/>
        <v>752.46597888</v>
      </c>
      <c r="AR144" s="43">
        <f t="shared" si="83"/>
        <v>9911.04</v>
      </c>
      <c r="AS144" s="43">
        <f t="shared" si="84"/>
        <v>2257.39793664</v>
      </c>
      <c r="AT144" s="107">
        <f t="shared" si="85"/>
        <v>0.675062354707478</v>
      </c>
      <c r="AU144" s="107">
        <f t="shared" si="86"/>
        <v>0.571206334103084</v>
      </c>
    </row>
    <row r="145" spans="1:47">
      <c r="A145" s="25">
        <v>139</v>
      </c>
      <c r="B145" s="26">
        <v>114848</v>
      </c>
      <c r="C145" s="27" t="s">
        <v>185</v>
      </c>
      <c r="D145" s="26" t="s">
        <v>51</v>
      </c>
      <c r="E145" s="25">
        <v>2000</v>
      </c>
      <c r="F145" s="28">
        <v>0.25</v>
      </c>
      <c r="G145" s="25">
        <f t="shared" si="61"/>
        <v>500</v>
      </c>
      <c r="H145" s="29">
        <f>VLOOKUP(B145,[3]Sheet2!$A:$C,3,0)</f>
        <v>1</v>
      </c>
      <c r="J145" s="30">
        <f>VLOOKUP(B145,[1]查询时间段分门店销售汇总!$D:$L,9,0)</f>
        <v>4050.08</v>
      </c>
      <c r="K145" s="30">
        <f>VLOOKUP(B145,[1]查询时间段分门店销售汇总!$D:$M,10,0)</f>
        <v>1383.06</v>
      </c>
      <c r="L145" s="31">
        <f>E145*1.6</f>
        <v>3200</v>
      </c>
      <c r="M145" s="32">
        <v>0.23375</v>
      </c>
      <c r="N145" s="37">
        <f t="shared" si="62"/>
        <v>748</v>
      </c>
      <c r="O145" s="37">
        <f t="shared" si="63"/>
        <v>12800</v>
      </c>
      <c r="P145" s="37">
        <f t="shared" si="64"/>
        <v>2992</v>
      </c>
      <c r="Q145" s="81">
        <f t="shared" si="65"/>
        <v>0.3164125</v>
      </c>
      <c r="R145" s="81">
        <f t="shared" si="66"/>
        <v>0.462252673796791</v>
      </c>
      <c r="S145" s="82">
        <f t="shared" si="67"/>
        <v>3680</v>
      </c>
      <c r="T145" s="83"/>
      <c r="U145" s="82">
        <f t="shared" si="60"/>
        <v>-87.4992</v>
      </c>
      <c r="V145" s="84">
        <f>U145/2</f>
        <v>-43.7496</v>
      </c>
      <c r="W145" s="32">
        <f t="shared" si="68"/>
        <v>0.219725</v>
      </c>
      <c r="X145" s="37">
        <f t="shared" si="69"/>
        <v>808.588</v>
      </c>
      <c r="Y145" s="38">
        <f t="shared" si="70"/>
        <v>14720</v>
      </c>
      <c r="Z145" s="38">
        <f t="shared" si="71"/>
        <v>3234.352</v>
      </c>
      <c r="AA145" s="81">
        <f t="shared" si="72"/>
        <v>0.275141304347826</v>
      </c>
      <c r="AB145" s="81">
        <f t="shared" si="73"/>
        <v>0.427615794446616</v>
      </c>
      <c r="AC145" s="71"/>
      <c r="AD145" s="71"/>
      <c r="AE145" s="98">
        <f>VLOOKUP(B145,[2]查询时间段分门店销售汇总!$D:$L,9,0)</f>
        <v>4276.65</v>
      </c>
      <c r="AF145" s="98">
        <f>VLOOKUP(B145,[2]查询时间段分门店销售汇总!$D:$M,10,0)</f>
        <v>1248.73</v>
      </c>
      <c r="AG145" s="41">
        <f t="shared" si="74"/>
        <v>2848</v>
      </c>
      <c r="AH145" s="28">
        <v>0.23725625</v>
      </c>
      <c r="AI145" s="43">
        <f t="shared" si="75"/>
        <v>675.7058</v>
      </c>
      <c r="AJ145" s="43">
        <f t="shared" si="76"/>
        <v>8544</v>
      </c>
      <c r="AK145" s="43">
        <f t="shared" si="77"/>
        <v>2027.1174</v>
      </c>
      <c r="AL145" s="28">
        <f t="shared" si="78"/>
        <v>0.500544241573034</v>
      </c>
      <c r="AM145" s="28">
        <f t="shared" si="79"/>
        <v>0.616012669024498</v>
      </c>
      <c r="AN145" s="43">
        <f t="shared" si="80"/>
        <v>3303.68</v>
      </c>
      <c r="AP145" s="28">
        <f t="shared" si="81"/>
        <v>0.227766</v>
      </c>
      <c r="AQ145" s="43">
        <f t="shared" si="82"/>
        <v>752.46597888</v>
      </c>
      <c r="AR145" s="43">
        <f t="shared" si="83"/>
        <v>9911.04</v>
      </c>
      <c r="AS145" s="43">
        <f t="shared" si="84"/>
        <v>2257.39793664</v>
      </c>
      <c r="AT145" s="107">
        <f t="shared" si="85"/>
        <v>0.431503656528477</v>
      </c>
      <c r="AU145" s="107">
        <f t="shared" si="86"/>
        <v>0.553172296178608</v>
      </c>
    </row>
    <row r="146" spans="1:47">
      <c r="A146" s="25">
        <v>142</v>
      </c>
      <c r="B146" s="26">
        <v>122176</v>
      </c>
      <c r="C146" s="27" t="s">
        <v>186</v>
      </c>
      <c r="D146" s="26" t="s">
        <v>53</v>
      </c>
      <c r="E146" s="25">
        <v>1500</v>
      </c>
      <c r="F146" s="28">
        <v>0.26</v>
      </c>
      <c r="G146" s="25">
        <f t="shared" si="61"/>
        <v>390</v>
      </c>
      <c r="H146" s="29">
        <f>VLOOKUP(B146,[3]Sheet2!$A:$C,3,0)</f>
        <v>2</v>
      </c>
      <c r="J146" s="30">
        <f>VLOOKUP(B146,[1]查询时间段分门店销售汇总!$D:$L,9,0)</f>
        <v>3132.86</v>
      </c>
      <c r="K146" s="30">
        <f>VLOOKUP(B146,[1]查询时间段分门店销售汇总!$D:$M,10,0)</f>
        <v>1072.4</v>
      </c>
      <c r="L146" s="31">
        <v>3000</v>
      </c>
      <c r="M146" s="32">
        <v>0.2431</v>
      </c>
      <c r="N146" s="37">
        <f t="shared" si="62"/>
        <v>729.3</v>
      </c>
      <c r="O146" s="37">
        <f t="shared" si="63"/>
        <v>12000</v>
      </c>
      <c r="P146" s="37">
        <f t="shared" si="64"/>
        <v>2917.2</v>
      </c>
      <c r="Q146" s="81">
        <f t="shared" si="65"/>
        <v>0.261071666666667</v>
      </c>
      <c r="R146" s="81">
        <f t="shared" si="66"/>
        <v>0.367612779377485</v>
      </c>
      <c r="S146" s="82">
        <f t="shared" si="67"/>
        <v>3450</v>
      </c>
      <c r="T146" s="83"/>
      <c r="U146" s="82">
        <f t="shared" si="60"/>
        <v>-88.6714</v>
      </c>
      <c r="V146" s="84">
        <f>U146/2</f>
        <v>-44.3357</v>
      </c>
      <c r="W146" s="32">
        <f t="shared" si="68"/>
        <v>0.228514</v>
      </c>
      <c r="X146" s="37">
        <f t="shared" si="69"/>
        <v>788.3733</v>
      </c>
      <c r="Y146" s="38">
        <f t="shared" si="70"/>
        <v>13800</v>
      </c>
      <c r="Z146" s="38">
        <f t="shared" si="71"/>
        <v>3153.4932</v>
      </c>
      <c r="AA146" s="81">
        <f t="shared" si="72"/>
        <v>0.22701884057971</v>
      </c>
      <c r="AB146" s="81">
        <f t="shared" si="73"/>
        <v>0.340067325973622</v>
      </c>
      <c r="AC146" s="71"/>
      <c r="AD146" s="71"/>
      <c r="AE146" s="98">
        <f>VLOOKUP(B146,[2]查询时间段分门店销售汇总!$D:$L,9,0)</f>
        <v>3423.54</v>
      </c>
      <c r="AF146" s="98">
        <f>VLOOKUP(B146,[2]查询时间段分门店销售汇总!$D:$M,10,0)</f>
        <v>1019.56</v>
      </c>
      <c r="AG146" s="41">
        <f t="shared" si="74"/>
        <v>2670</v>
      </c>
      <c r="AH146" s="28">
        <v>0.2467465</v>
      </c>
      <c r="AI146" s="43">
        <f t="shared" si="75"/>
        <v>658.813155</v>
      </c>
      <c r="AJ146" s="43">
        <f t="shared" si="76"/>
        <v>8010</v>
      </c>
      <c r="AK146" s="43">
        <f t="shared" si="77"/>
        <v>1976.439465</v>
      </c>
      <c r="AL146" s="28">
        <f t="shared" si="78"/>
        <v>0.427408239700375</v>
      </c>
      <c r="AM146" s="28">
        <f t="shared" si="79"/>
        <v>0.515856932658446</v>
      </c>
      <c r="AN146" s="43">
        <f t="shared" si="80"/>
        <v>3097.2</v>
      </c>
      <c r="AP146" s="28">
        <f t="shared" si="81"/>
        <v>0.23687664</v>
      </c>
      <c r="AQ146" s="43">
        <f t="shared" si="82"/>
        <v>733.654329408</v>
      </c>
      <c r="AR146" s="43">
        <f t="shared" si="83"/>
        <v>9291.6</v>
      </c>
      <c r="AS146" s="43">
        <f t="shared" si="84"/>
        <v>2200.962988224</v>
      </c>
      <c r="AT146" s="107">
        <f t="shared" si="85"/>
        <v>0.368455379052047</v>
      </c>
      <c r="AU146" s="107">
        <f t="shared" si="86"/>
        <v>0.463233596137254</v>
      </c>
    </row>
  </sheetData>
  <autoFilter ref="A2:AV146">
    <extLst/>
  </autoFilter>
  <sortState ref="A2:AU146">
    <sortCondition ref="AA2" descending="1"/>
  </sortState>
  <mergeCells count="4">
    <mergeCell ref="A1:I2"/>
    <mergeCell ref="AE1:AU2"/>
    <mergeCell ref="J1:W2"/>
    <mergeCell ref="Y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G3" sqref="G3"/>
    </sheetView>
  </sheetViews>
  <sheetFormatPr defaultColWidth="9" defaultRowHeight="13.5" outlineLevelRow="1" outlineLevelCol="7"/>
  <cols>
    <col min="7" max="7" width="16.75" customWidth="1"/>
    <col min="8" max="8" width="19" customWidth="1"/>
  </cols>
  <sheetData>
    <row r="1" spans="1:8">
      <c r="A1" s="20" t="s">
        <v>187</v>
      </c>
      <c r="B1" s="20"/>
      <c r="C1" s="20"/>
      <c r="D1" s="20"/>
      <c r="E1" s="20"/>
      <c r="F1" s="20"/>
      <c r="G1" s="20"/>
      <c r="H1" s="20"/>
    </row>
    <row r="2" s="19" customFormat="1" spans="1:8">
      <c r="A2" s="21" t="s">
        <v>3</v>
      </c>
      <c r="B2" s="21" t="s">
        <v>188</v>
      </c>
      <c r="C2" s="21" t="s">
        <v>189</v>
      </c>
      <c r="D2" s="21" t="s">
        <v>190</v>
      </c>
      <c r="E2" s="21" t="s">
        <v>191</v>
      </c>
      <c r="F2" s="21" t="s">
        <v>192</v>
      </c>
      <c r="G2" s="21" t="s">
        <v>193</v>
      </c>
      <c r="H2" s="22" t="s">
        <v>194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workbookViewId="0">
      <selection activeCell="G8" sqref="G8"/>
    </sheetView>
  </sheetViews>
  <sheetFormatPr defaultColWidth="9" defaultRowHeight="13.5" outlineLevelCol="7"/>
  <sheetData>
    <row r="1" s="16" customFormat="1" spans="1:8">
      <c r="A1" s="17" t="s">
        <v>3</v>
      </c>
      <c r="B1" s="17" t="s">
        <v>195</v>
      </c>
      <c r="C1" s="17" t="s">
        <v>189</v>
      </c>
      <c r="D1" s="17" t="s">
        <v>190</v>
      </c>
      <c r="E1" s="17" t="s">
        <v>196</v>
      </c>
      <c r="F1" s="17" t="s">
        <v>192</v>
      </c>
      <c r="G1" s="18" t="s">
        <v>197</v>
      </c>
      <c r="H1" s="17" t="s">
        <v>198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6" sqref="E16"/>
    </sheetView>
  </sheetViews>
  <sheetFormatPr defaultColWidth="12.375" defaultRowHeight="30" customHeight="1" outlineLevelCol="7"/>
  <cols>
    <col min="1" max="1" width="7" style="1" customWidth="1"/>
    <col min="2" max="2" width="15.5" style="1" customWidth="1"/>
    <col min="3" max="3" width="13.25" style="1" customWidth="1"/>
    <col min="4" max="4" width="12.375" style="1" customWidth="1"/>
    <col min="5" max="5" width="17.5" style="1" customWidth="1"/>
    <col min="6" max="7" width="12.375" style="1" customWidth="1"/>
    <col min="8" max="8" width="15.875" style="1" customWidth="1"/>
    <col min="9" max="16384" width="12.375" style="1" customWidth="1"/>
  </cols>
  <sheetData>
    <row r="1" ht="25" customHeight="1" spans="1:8">
      <c r="A1" s="2" t="s">
        <v>199</v>
      </c>
      <c r="B1" s="2"/>
      <c r="C1" s="2"/>
      <c r="D1" s="2"/>
      <c r="E1" s="2"/>
      <c r="F1" s="2"/>
      <c r="G1" s="2"/>
      <c r="H1" s="2"/>
    </row>
    <row r="2" customHeight="1" spans="1:8">
      <c r="A2" s="2" t="s">
        <v>3</v>
      </c>
      <c r="B2" s="2" t="s">
        <v>190</v>
      </c>
      <c r="C2" s="2" t="s">
        <v>200</v>
      </c>
      <c r="D2" s="3" t="s">
        <v>201</v>
      </c>
      <c r="E2" s="4" t="s">
        <v>202</v>
      </c>
      <c r="F2" s="5" t="s">
        <v>203</v>
      </c>
      <c r="G2" s="6" t="s">
        <v>204</v>
      </c>
      <c r="H2" s="7" t="s">
        <v>205</v>
      </c>
    </row>
    <row r="3" customHeight="1" spans="1:8">
      <c r="A3" s="8">
        <v>1</v>
      </c>
      <c r="B3" s="9" t="s">
        <v>61</v>
      </c>
      <c r="C3" s="10">
        <v>21</v>
      </c>
      <c r="D3" s="11">
        <v>0</v>
      </c>
      <c r="E3" s="12">
        <f>D3/C3</f>
        <v>0</v>
      </c>
      <c r="F3" s="13"/>
      <c r="G3" s="13"/>
      <c r="H3" s="14">
        <f>(1-E3)*-4</f>
        <v>-4</v>
      </c>
    </row>
    <row r="4" customHeight="1" spans="1:8">
      <c r="A4" s="8">
        <v>2</v>
      </c>
      <c r="B4" s="9" t="s">
        <v>206</v>
      </c>
      <c r="C4" s="10">
        <v>26</v>
      </c>
      <c r="D4" s="11">
        <v>2</v>
      </c>
      <c r="E4" s="12">
        <f t="shared" ref="E4:E12" si="0">D4/C4</f>
        <v>0.0769230769230769</v>
      </c>
      <c r="F4" s="13"/>
      <c r="G4" s="13"/>
      <c r="H4" s="14">
        <f t="shared" ref="H4:H11" si="1">(1-E4)*-4</f>
        <v>-3.69230769230769</v>
      </c>
    </row>
    <row r="5" customHeight="1" spans="1:8">
      <c r="A5" s="8">
        <v>3</v>
      </c>
      <c r="B5" s="9" t="s">
        <v>207</v>
      </c>
      <c r="C5" s="10">
        <v>8</v>
      </c>
      <c r="D5" s="11">
        <v>1</v>
      </c>
      <c r="E5" s="12">
        <f t="shared" si="0"/>
        <v>0.125</v>
      </c>
      <c r="F5" s="13"/>
      <c r="G5" s="13"/>
      <c r="H5" s="14">
        <f t="shared" si="1"/>
        <v>-3.5</v>
      </c>
    </row>
    <row r="6" customHeight="1" spans="1:8">
      <c r="A6" s="8">
        <v>4</v>
      </c>
      <c r="B6" s="9" t="s">
        <v>51</v>
      </c>
      <c r="C6" s="10">
        <v>22</v>
      </c>
      <c r="D6" s="11">
        <v>1</v>
      </c>
      <c r="E6" s="12">
        <f t="shared" si="0"/>
        <v>0.0454545454545455</v>
      </c>
      <c r="F6" s="13"/>
      <c r="G6" s="13"/>
      <c r="H6" s="14">
        <f t="shared" si="1"/>
        <v>-3.81818181818182</v>
      </c>
    </row>
    <row r="7" customHeight="1" spans="1:8">
      <c r="A7" s="8">
        <v>5</v>
      </c>
      <c r="B7" s="9" t="s">
        <v>208</v>
      </c>
      <c r="C7" s="10">
        <v>8</v>
      </c>
      <c r="D7" s="11">
        <v>2</v>
      </c>
      <c r="E7" s="12">
        <f t="shared" si="0"/>
        <v>0.25</v>
      </c>
      <c r="F7" s="13"/>
      <c r="G7" s="13"/>
      <c r="H7" s="14">
        <f t="shared" si="1"/>
        <v>-3</v>
      </c>
    </row>
    <row r="8" customHeight="1" spans="1:8">
      <c r="A8" s="8">
        <v>6</v>
      </c>
      <c r="B8" s="9" t="s">
        <v>34</v>
      </c>
      <c r="C8" s="10">
        <v>8</v>
      </c>
      <c r="D8" s="11">
        <v>0</v>
      </c>
      <c r="E8" s="12">
        <f t="shared" si="0"/>
        <v>0</v>
      </c>
      <c r="F8" s="15"/>
      <c r="G8" s="13"/>
      <c r="H8" s="14">
        <f t="shared" si="1"/>
        <v>-4</v>
      </c>
    </row>
    <row r="9" customHeight="1" spans="1:8">
      <c r="A9" s="8">
        <v>7</v>
      </c>
      <c r="B9" s="9" t="s">
        <v>39</v>
      </c>
      <c r="C9" s="10">
        <v>19</v>
      </c>
      <c r="D9" s="11">
        <v>2</v>
      </c>
      <c r="E9" s="12">
        <f t="shared" si="0"/>
        <v>0.105263157894737</v>
      </c>
      <c r="F9" s="13"/>
      <c r="G9" s="13"/>
      <c r="H9" s="14">
        <f t="shared" si="1"/>
        <v>-3.57894736842105</v>
      </c>
    </row>
    <row r="10" customHeight="1" spans="1:8">
      <c r="A10" s="8">
        <v>8</v>
      </c>
      <c r="B10" s="9" t="s">
        <v>37</v>
      </c>
      <c r="C10" s="10">
        <v>26</v>
      </c>
      <c r="D10" s="11">
        <v>2</v>
      </c>
      <c r="E10" s="12">
        <f t="shared" si="0"/>
        <v>0.0769230769230769</v>
      </c>
      <c r="F10" s="13"/>
      <c r="G10" s="13"/>
      <c r="H10" s="14">
        <f t="shared" si="1"/>
        <v>-3.69230769230769</v>
      </c>
    </row>
    <row r="11" customHeight="1" spans="1:8">
      <c r="A11" s="8">
        <v>9</v>
      </c>
      <c r="B11" s="9" t="s">
        <v>59</v>
      </c>
      <c r="C11" s="10">
        <v>5</v>
      </c>
      <c r="D11" s="11">
        <v>0</v>
      </c>
      <c r="E11" s="12">
        <f t="shared" si="0"/>
        <v>0</v>
      </c>
      <c r="F11" s="13"/>
      <c r="G11" s="13"/>
      <c r="H11" s="14">
        <f t="shared" si="1"/>
        <v>-4</v>
      </c>
    </row>
    <row r="12" customHeight="1" spans="1:8">
      <c r="A12" s="2" t="s">
        <v>209</v>
      </c>
      <c r="B12" s="2"/>
      <c r="C12" s="2">
        <f>SUM(C3:C11)</f>
        <v>143</v>
      </c>
      <c r="D12" s="2">
        <f>SUM(D3:D11)</f>
        <v>10</v>
      </c>
      <c r="E12" s="12">
        <f t="shared" si="0"/>
        <v>0.0699300699300699</v>
      </c>
      <c r="F12" s="5"/>
      <c r="G12" s="6">
        <f>SUM(G3:G9)</f>
        <v>0</v>
      </c>
      <c r="H12" s="14">
        <f>SUM(H3:H9)</f>
        <v>-25.5894368789106</v>
      </c>
    </row>
  </sheetData>
  <mergeCells count="2">
    <mergeCell ref="A1:H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10.17-23日销售完成明细</vt:lpstr>
      <vt:lpstr>员工奖励明细表</vt:lpstr>
      <vt:lpstr>员工积分奖励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2022-10-13T08:30:00Z</dcterms:created>
  <dcterms:modified xsi:type="dcterms:W3CDTF">2022-12-06T07:47:10Z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92D5FE55FEB24D6B853078B3B6C00773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