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过期问题汇总" sheetId="3" r:id="rId1"/>
    <sheet name="过期问题明细" sheetId="1" r:id="rId2"/>
    <sheet name="9月点检完成率" sheetId="4" r:id="rId3"/>
  </sheets>
  <definedNames>
    <definedName name="_xlnm._FilterDatabase" localSheetId="1" hidden="1">过期问题明细!$A$1:$X$385</definedName>
  </definedNames>
  <calcPr calcId="144525"/>
</workbook>
</file>

<file path=xl/sharedStrings.xml><?xml version="1.0" encoding="utf-8"?>
<sst xmlns="http://schemas.openxmlformats.org/spreadsheetml/2006/main" count="8597" uniqueCount="1968">
  <si>
    <t>9月药店管家“门店整改”过期条数</t>
  </si>
  <si>
    <t>9月药店管家片区主管“复检过期”条数</t>
  </si>
  <si>
    <t>创建人</t>
  </si>
  <si>
    <t>问题来源</t>
  </si>
  <si>
    <t>门店</t>
  </si>
  <si>
    <t>过期条数</t>
  </si>
  <si>
    <t>段文秀</t>
  </si>
  <si>
    <t>点检</t>
  </si>
  <si>
    <t>（1）四川太极成华区华泰路药店712</t>
  </si>
  <si>
    <t>（1）四川太极高新区成汉南路店750</t>
  </si>
  <si>
    <t>（1）四川太极成华区金马河路店103639</t>
  </si>
  <si>
    <t>（1）四川太极锦江区观音桥街药店724</t>
  </si>
  <si>
    <t>（1）四川太极成华区万科路药店707</t>
  </si>
  <si>
    <t>（1）四川太极龙潭西路店545</t>
  </si>
  <si>
    <t>（1）四川太极成华区万宇路药店743</t>
  </si>
  <si>
    <t>现场巡店</t>
  </si>
  <si>
    <t>（1）四川太极成华区华康路药店740</t>
  </si>
  <si>
    <t>（1）四川太极高新区中和大道店104430</t>
  </si>
  <si>
    <t>（1）四川太极高新区大源北街药店737</t>
  </si>
  <si>
    <t>（1）四川太极锦江区合欢树街药店753</t>
  </si>
  <si>
    <t>（1）四川太极锦江区水杉街药店598</t>
  </si>
  <si>
    <t>（1）四川太极锦江区榕声路店546</t>
  </si>
  <si>
    <t>刘琴英</t>
  </si>
  <si>
    <t>（1）光华北五路店114286</t>
  </si>
  <si>
    <t>（1）四川太极双流县西航港街道锦华路一段药店573</t>
  </si>
  <si>
    <t>（1）光华西一路店114069</t>
  </si>
  <si>
    <t>（1）四川太极新乐中街药店387</t>
  </si>
  <si>
    <t>（1）四川太极清江东路药店357</t>
  </si>
  <si>
    <t>（1）四川太极新园大道药店377</t>
  </si>
  <si>
    <t>（1）四川太极武侯区佳灵路店102565</t>
  </si>
  <si>
    <t>（1）剑南大道店114069</t>
  </si>
  <si>
    <t>苗凯</t>
  </si>
  <si>
    <t>（1）四川太极崇州尚贤坊街药店754</t>
  </si>
  <si>
    <t>（1）四川太极崇州蜀州中路店104838</t>
  </si>
  <si>
    <t>（1）四川太极崇州永康东路店104428</t>
  </si>
  <si>
    <t>（1）四川太极都江堰聚源镇药店713</t>
  </si>
  <si>
    <t>（1）四川太极武侯区航中街药店105396</t>
  </si>
  <si>
    <t>（1）四川太极都江堰问道西路药店710</t>
  </si>
  <si>
    <t>（1）四川太极都江堰翔凤路药店706</t>
  </si>
  <si>
    <t>（1）四川太极都江堰中心药店351</t>
  </si>
  <si>
    <t>何巍</t>
  </si>
  <si>
    <t>（1）四川太极成华区二环路北四段药店581</t>
  </si>
  <si>
    <t>（1）四川太极怀远店54</t>
  </si>
  <si>
    <t>（1）四川太极成华区华油路药店578</t>
  </si>
  <si>
    <t>（1）四川太极三江店56</t>
  </si>
  <si>
    <t>（1）四川太极崔家店515</t>
  </si>
  <si>
    <t>（1）四川太极温江店329</t>
  </si>
  <si>
    <t>（1）四川太极红星店308</t>
  </si>
  <si>
    <t>（1）四川太极温江区江安路药店101453</t>
  </si>
  <si>
    <t>（1）四川太极锦江区静明路药店102478</t>
  </si>
  <si>
    <t>任会茹</t>
  </si>
  <si>
    <t>（1）四川太极邛崃翠荫街药店102564</t>
  </si>
  <si>
    <t>（1）四川太极科华街店744</t>
  </si>
  <si>
    <t>（1）四川太极邛崃洪川小区药店721</t>
  </si>
  <si>
    <t>（1）四川太极青羊区童子街店102935</t>
  </si>
  <si>
    <t>（1）四川太极邛崃永康大道药店732</t>
  </si>
  <si>
    <t>（1）四川太极人民中路店349</t>
  </si>
  <si>
    <t>（1）四川太极邛崃长安大道药店591</t>
  </si>
  <si>
    <t>（1）四川太极通盈街药店373</t>
  </si>
  <si>
    <t>汇总</t>
  </si>
  <si>
    <t>（1）解放路店107829</t>
  </si>
  <si>
    <t>（1）银沙路店108277</t>
  </si>
  <si>
    <t>（1）四川太极西部店311</t>
  </si>
  <si>
    <t>王燕丽</t>
  </si>
  <si>
    <t>（1）四川太极新津武阳西路药店102567</t>
  </si>
  <si>
    <t>编号</t>
  </si>
  <si>
    <t>点检项分类</t>
  </si>
  <si>
    <t>点检项</t>
  </si>
  <si>
    <t>标准分</t>
  </si>
  <si>
    <t>得分</t>
  </si>
  <si>
    <t>奖惩金额</t>
  </si>
  <si>
    <t>问题状态</t>
  </si>
  <si>
    <t>流程状态</t>
  </si>
  <si>
    <t>创建时间</t>
  </si>
  <si>
    <t>到期时间</t>
  </si>
  <si>
    <t>整改时间</t>
  </si>
  <si>
    <t>复检时间</t>
  </si>
  <si>
    <t>整改人</t>
  </si>
  <si>
    <t>当前处理人</t>
  </si>
  <si>
    <t>细则</t>
  </si>
  <si>
    <t>描述</t>
  </si>
  <si>
    <t>问题图片</t>
  </si>
  <si>
    <t>整改图片</t>
  </si>
  <si>
    <t>评论</t>
  </si>
  <si>
    <t>过期问题</t>
  </si>
  <si>
    <t>责任人</t>
  </si>
  <si>
    <t>ID00120058</t>
  </si>
  <si>
    <t>（1）四川太极光华药店343</t>
  </si>
  <si>
    <t>其他</t>
  </si>
  <si>
    <t>0.0</t>
  </si>
  <si>
    <t>+0.0</t>
  </si>
  <si>
    <t>已过期</t>
  </si>
  <si>
    <t>整改完成</t>
  </si>
  <si>
    <t>2020-09-01</t>
  </si>
  <si>
    <t>2020-09-04</t>
  </si>
  <si>
    <t>2020-09-01 19:35:37</t>
  </si>
  <si>
    <t>2020-10-11 14:32:52</t>
  </si>
  <si>
    <t>魏津-四川太极大药房</t>
  </si>
  <si>
    <t>--</t>
  </si>
  <si>
    <t>陈列</t>
  </si>
  <si>
    <t>手动创建</t>
  </si>
  <si>
    <t xml:space="preserve"> 魏津-四川太极大药房  发现问题  2020-09-01 19:34:13
魏津-四川太极大药房  整改（已整改）  2020-09-01 19:35:37
魏津-四川太极大药房    2020-09-12 15:10:01
 已经完成
魏津-四川太极大药房  复检（通过）  2020-10-11 14:32:52
</t>
  </si>
  <si>
    <t>复检过期</t>
  </si>
  <si>
    <t>魏津</t>
  </si>
  <si>
    <t>ID00121948</t>
  </si>
  <si>
    <t>（1）四川太极金丝街药店391</t>
  </si>
  <si>
    <t>设备掉线(大数据)</t>
  </si>
  <si>
    <t>设备反复掉线</t>
  </si>
  <si>
    <t>2020-09-29</t>
  </si>
  <si>
    <t>2020-10-02</t>
  </si>
  <si>
    <t>2020-10-07 19:52:26</t>
  </si>
  <si>
    <t>2020-10-09 09:47:41</t>
  </si>
  <si>
    <t>杨皓(管理账号)</t>
  </si>
  <si>
    <t>设备反复掉线   店长联系方式:13688022150    02886956595</t>
  </si>
  <si>
    <t>暂无图片</t>
  </si>
  <si>
    <t xml:space="preserve"> 杨皓(管理账号)  发现问题  2020-09-29 16:17:31
刘樽-四川太极大药房    2020-09-29 17:45:00
 监控球机无法显示，门店处理不了
万店掌售后服务  整改（已整改）  2020-10-07 19:52:26
杨皓(管理账号)  复检（通过）  2020-10-09 09:47:41
</t>
  </si>
  <si>
    <t>ID00121844</t>
  </si>
  <si>
    <t>免费服务（营业部）</t>
  </si>
  <si>
    <t>出入口雨天有防滑垫、伞架（干净整洁无尘）</t>
  </si>
  <si>
    <t>1.0</t>
  </si>
  <si>
    <t>-0.0</t>
  </si>
  <si>
    <t>2020-09-28</t>
  </si>
  <si>
    <t>2020-10-01</t>
  </si>
  <si>
    <t>2020-10-01 21:35:37</t>
  </si>
  <si>
    <t>2020-10-02 20:06:38</t>
  </si>
  <si>
    <t>李紫雯-四川太极大药房</t>
  </si>
  <si>
    <t>刘琴英-四川太极大药房</t>
  </si>
  <si>
    <t/>
  </si>
  <si>
    <t xml:space="preserve"> 刘琴英-四川太极大药房  发现问题  2020-09-28 13:16:42
李紫雯-四川太极大药房  整改（已整改）  2020-10-01 21:35:37
 已整改
刘琴英-四川太极大药房  复检（通过）  2020-10-02 20:06:38
</t>
  </si>
  <si>
    <t>ID00121858</t>
  </si>
  <si>
    <t>（1）四川太极锦江区梨花街店106066</t>
  </si>
  <si>
    <t>冷链管理（质管部专用）</t>
  </si>
  <si>
    <t>应及时填写冷链品种运输交接记录</t>
  </si>
  <si>
    <t>待整改</t>
  </si>
  <si>
    <t>刁晓梅-四川太极大药房</t>
  </si>
  <si>
    <t>杜永红-四川太极大药房</t>
  </si>
  <si>
    <t xml:space="preserve"> 杜永红-四川太极大药房  发现问题  2020-09-28 14:57:44
谭庆娟-四川太极大药房  转发  刁晓梅-四川太极大药房  2020-09-28 16:18:04
</t>
  </si>
  <si>
    <t>整改过期</t>
  </si>
  <si>
    <t>刁晓梅</t>
  </si>
  <si>
    <t>ID00120959</t>
  </si>
  <si>
    <t>（1）四川太极锦江区庆云南街药店742</t>
  </si>
  <si>
    <t>销售管理（质管部）冷链</t>
  </si>
  <si>
    <t>是否熟悉进销存查询方法</t>
  </si>
  <si>
    <t>2020-09-16</t>
  </si>
  <si>
    <t>2020-09-19</t>
  </si>
  <si>
    <t>2020-09-25 17:14:29</t>
  </si>
  <si>
    <t>2020-09-25 19:12:00</t>
  </si>
  <si>
    <t>王晓雁-四川太极大药房</t>
  </si>
  <si>
    <t>需要学习，熟悉</t>
  </si>
  <si>
    <t xml:space="preserve"> 杜永红-四川太极大药房  发现问题  2020-09-16 15:12:05
谭庆娟-四川太极大药房  转发  王晓雁-四川太极大药房  2020-09-16 18:20:42
王晓雁-四川太极大药房  整改（已整改）  2020-09-25 17:14:29
 已整改，全员已学习、熟记
杜永红-四川太极大药房  复检（通过）  2020-09-25 19:12:00
</t>
  </si>
  <si>
    <t>王晓雁</t>
  </si>
  <si>
    <t>ID00121155</t>
  </si>
  <si>
    <t>日常氛围（通用）</t>
  </si>
  <si>
    <t>吊旗、爆炸花、POP海报等宣传物料齐全无缺失，无破损、开胶、卷边、褪色，无过期内容</t>
  </si>
  <si>
    <t>0.5</t>
  </si>
  <si>
    <t>2020-09-17</t>
  </si>
  <si>
    <t>2020-09-20</t>
  </si>
  <si>
    <t>2020-09-25 11:02:54</t>
  </si>
  <si>
    <t>2020-09-25 15:55:54</t>
  </si>
  <si>
    <t>杨苗-四川太极大药房</t>
  </si>
  <si>
    <t>何巍-四川太极大药房</t>
  </si>
  <si>
    <t xml:space="preserve"> 何巍-四川太极大药房  发现问题  2020-09-17 23:13:53
杨苗-四川太极大药房  整改（已整改）  2020-09-25 11:02:54
 已整改
何巍-四川太极大药房  复检（通过）  2020-09-25 15:55:54
</t>
  </si>
  <si>
    <t>杨苗</t>
  </si>
  <si>
    <t>ID00121156</t>
  </si>
  <si>
    <t>2020-09-25 11:04:12</t>
  </si>
  <si>
    <t>2020-09-25 15:55:43</t>
  </si>
  <si>
    <t xml:space="preserve"> 何巍-四川太极大药房  发现问题  2020-09-17 23:14:00
杨苗-四川太极大药房  整改（已整改）  2020-09-25 11:04:12
 已整改
何巍-四川太极大药房  复检（通过）  2020-09-25 15:55:43
</t>
  </si>
  <si>
    <t>ID00120476</t>
  </si>
  <si>
    <t>货架、堆头、花车陈列配有爆炸花、T型POP宣传</t>
  </si>
  <si>
    <t>2020-09-09</t>
  </si>
  <si>
    <t>2020-09-12</t>
  </si>
  <si>
    <t>2020-09-24 21:51:19</t>
  </si>
  <si>
    <t>2020-09-24 22:00:12</t>
  </si>
  <si>
    <t>祁荣-四川太极大药房</t>
  </si>
  <si>
    <t>王燕丽-四川太极大药房</t>
  </si>
  <si>
    <t>货品陈列空缺</t>
  </si>
  <si>
    <t xml:space="preserve"> 王燕丽-四川太极大药房  发现问题  2020-09-09 16:56:02
祁荣-四川太极大药房  整改（已整改）  2020-09-24 21:51:19
王燕丽-四川太极大药房  复检（通过）  2020-09-24 22:00:12
 通过
</t>
  </si>
  <si>
    <t>祁荣</t>
  </si>
  <si>
    <t>ID00120937</t>
  </si>
  <si>
    <t>风险防控（通用）</t>
  </si>
  <si>
    <t>贵重商品交接记录</t>
  </si>
  <si>
    <t>2020-09-15</t>
  </si>
  <si>
    <t>2020-09-18</t>
  </si>
  <si>
    <t>2020-09-24 16:52:08</t>
  </si>
  <si>
    <t>2020-09-24 17:52:56</t>
  </si>
  <si>
    <t>张建2-四川太极大药房</t>
  </si>
  <si>
    <t>段文秀-四川太极大药房</t>
  </si>
  <si>
    <t xml:space="preserve"> 段文秀-四川太极大药房  发现问题  2020-09-15 17:57:42
张建2-四川太极大药房  整改（已整改）  2020-09-24 16:52:08
段文秀-四川太极大药房  复检（通过）  2020-09-24 17:52:56
</t>
  </si>
  <si>
    <t>张建2</t>
  </si>
  <si>
    <t>ID00121174</t>
  </si>
  <si>
    <t>商品陈列（通用）</t>
  </si>
  <si>
    <t>丰满整齐：正面朝外，不凌乱、不倒置、无空位</t>
  </si>
  <si>
    <t>2020-09-21</t>
  </si>
  <si>
    <t>2020-09-24 17:00:18</t>
  </si>
  <si>
    <t>2020-09-24 17:52:48</t>
  </si>
  <si>
    <t>王芳-四川太极大药房</t>
  </si>
  <si>
    <t xml:space="preserve"> 段文秀-四川太极大药房  发现问题  2020-09-18 16:35:53
王芳-四川太极大药房  整改（已整改）  2020-09-24 17:00:18
段文秀-四川太极大药房  复检（通过）  2020-09-24 17:52:48
</t>
  </si>
  <si>
    <t>王芳</t>
  </si>
  <si>
    <t>ID00121173</t>
  </si>
  <si>
    <t>2020-09-24 17:00:58</t>
  </si>
  <si>
    <t>2020-09-24 17:52:43</t>
  </si>
  <si>
    <t xml:space="preserve"> 段文秀-四川太极大药房  发现问题  2020-09-18 16:34:52
王芳-四川太极大药房  整改（已整改）  2020-09-24 17:00:58
段文秀-四川太极大药房  复检（通过）  2020-09-24 17:52:43
</t>
  </si>
  <si>
    <t>ID00121172</t>
  </si>
  <si>
    <t>2020-09-24 17:02:02</t>
  </si>
  <si>
    <t>2020-09-24 17:52:03</t>
  </si>
  <si>
    <t xml:space="preserve"> 段文秀-四川太极大药房  发现问题  2020-09-18 16:33:47
王芳-四川太极大药房  整改（已整改）  2020-09-24 17:02:02
段文秀-四川太极大药房  复检（通过）  2020-09-24 17:52:03
</t>
  </si>
  <si>
    <t>ID00120154</t>
  </si>
  <si>
    <t>2020-09-07</t>
  </si>
  <si>
    <t>2020-09-10 14:51:44</t>
  </si>
  <si>
    <t>2020-09-10 15:30:21</t>
  </si>
  <si>
    <t xml:space="preserve"> 段文秀-四川太极大药房  发现问题  2020-09-04 14:27:00
王芳-四川太极大药房  整改（已整改）  2020-09-10 14:51:44
段文秀-四川太极大药房  复检（不通过）  2020-09-10 15:30:21
 药品摆放还是乱
王芳-四川太极大药房  整改（已整改）  2020-09-24 17:03:29
段文秀-四川太极大药房  复检（通过）  2020-09-24 17:51:59
</t>
  </si>
  <si>
    <t>ID00120644</t>
  </si>
  <si>
    <t>环境卫生（通用）</t>
  </si>
  <si>
    <t>中药区地面干净，无明显垃圾，操作台面干净无黑灰</t>
  </si>
  <si>
    <t>2020-09-11</t>
  </si>
  <si>
    <t>2020-09-14</t>
  </si>
  <si>
    <t>2020-09-24 17:04:15</t>
  </si>
  <si>
    <t>2020-09-24 17:51:31</t>
  </si>
  <si>
    <t>中药区太乱</t>
  </si>
  <si>
    <t xml:space="preserve"> 段文秀-四川太极大药房  发现问题  2020-09-11 11:00:18
王芳-四川太极大药房  整改（已整改）  2020-09-24 17:04:15
段文秀-四川太极大药房  复检（通过）  2020-09-24 17:51:31
</t>
  </si>
  <si>
    <t>ID00121079</t>
  </si>
  <si>
    <t>收银台及端架陈列检核(营运部)</t>
  </si>
  <si>
    <t>收银台及端架陈列检核</t>
  </si>
  <si>
    <t>2020-09-24 17:08:22</t>
  </si>
  <si>
    <t>2020-09-24 17:51:25</t>
  </si>
  <si>
    <t xml:space="preserve"> 段文秀-四川太极大药房  发现问题  2020-09-17 13:49:09
王芳-四川太极大药房  整改（已整改）  2020-09-24 17:08:22
 已整改
段文秀-四川太极大药房  复检（通过）  2020-09-24 17:51:25
</t>
  </si>
  <si>
    <t>ID00120659</t>
  </si>
  <si>
    <t>2020-09-24 17:09:07</t>
  </si>
  <si>
    <t>2020-09-24 17:51:19</t>
  </si>
  <si>
    <t xml:space="preserve"> 段文秀-四川太极大药房  发现问题  2020-09-11 11:29:00
王芳-四川太极大药房  整改（已整改）  2020-09-24 17:09:07
段文秀-四川太极大药房  复检（通过）  2020-09-24 17:51:19
</t>
  </si>
  <si>
    <t>ID00120646</t>
  </si>
  <si>
    <t>2020-09-24 17:10:23</t>
  </si>
  <si>
    <t>2020-09-24 17:51:15</t>
  </si>
  <si>
    <t xml:space="preserve"> 段文秀-四川太极大药房  发现问题  2020-09-11 11:03:08
王芳-四川太极大药房  整改（已整改）  2020-09-24 17:10:23
段文秀-四川太极大药房  复检（通过）  2020-09-24 17:51:15
</t>
  </si>
  <si>
    <t>ID00120645</t>
  </si>
  <si>
    <t>2020-09-24 17:11:30</t>
  </si>
  <si>
    <t>2020-09-24 17:50:54</t>
  </si>
  <si>
    <t xml:space="preserve"> 段文秀-四川太极大药房  发现问题  2020-09-11 11:01:57
王芳-四川太极大药房  整改（已整改）  2020-09-24 17:11:30
段文秀-四川太极大药房  复检（通过）  2020-09-24 17:50:54
</t>
  </si>
  <si>
    <t>ID00120658</t>
  </si>
  <si>
    <t>2020-09-24 17:12:06</t>
  </si>
  <si>
    <t>2020-09-24 17:50:45</t>
  </si>
  <si>
    <t>货架空</t>
  </si>
  <si>
    <t xml:space="preserve"> 段文秀-四川太极大药房  发现问题  2020-09-11 11:28:10
王芳-四川太极大药房  整改（已整改）  2020-09-24 17:12:06
段文秀-四川太极大药房  复检（通过）  2020-09-24 17:50:45
</t>
  </si>
  <si>
    <t>ID00121074</t>
  </si>
  <si>
    <t>2020-09-24 17:12:16</t>
  </si>
  <si>
    <t>2020-09-24 17:50:28</t>
  </si>
  <si>
    <t xml:space="preserve"> 段文秀-四川太极大药房  发现问题  2020-09-17 13:49:04
王芳-四川太极大药房  整改（已整改）  2020-09-24 17:12:16
 已整改
段文秀-四川太极大药房  复检（通过）  2020-09-24 17:50:28
</t>
  </si>
  <si>
    <t>ID00121078</t>
  </si>
  <si>
    <t>2020-09-24 17:12:35</t>
  </si>
  <si>
    <t>2020-09-24 17:50:22</t>
  </si>
  <si>
    <t xml:space="preserve"> 段文秀-四川太极大药房  发现问题  2020-09-17 13:49:08
王芳-四川太极大药房  整改（已整改）  2020-09-24 17:12:35
 已整改
段文秀-四川太极大药房  复检（通过）  2020-09-24 17:50:22
</t>
  </si>
  <si>
    <t>ID00121077</t>
  </si>
  <si>
    <t>2020-09-24 17:12:45</t>
  </si>
  <si>
    <t>2020-09-24 17:50:17</t>
  </si>
  <si>
    <t xml:space="preserve"> 段文秀-四川太极大药房  发现问题  2020-09-17 13:49:07
王芳-四川太极大药房  整改（已整改）  2020-09-24 17:12:45
 已整改
段文秀-四川太极大药房  复检（通过）  2020-09-24 17:50:17
</t>
  </si>
  <si>
    <t>ID00121076</t>
  </si>
  <si>
    <t>2020-09-24 17:13:02</t>
  </si>
  <si>
    <t>2020-09-24 17:50:08</t>
  </si>
  <si>
    <t xml:space="preserve"> 段文秀-四川太极大药房  发现问题  2020-09-17 13:49:06
王芳-四川太极大药房  整改（已整改）  2020-09-24 17:13:02
 已整改
段文秀-四川太极大药房  复检（通过）  2020-09-24 17:50:08
</t>
  </si>
  <si>
    <t>ID00121075</t>
  </si>
  <si>
    <t>2020-09-24 17:13:14</t>
  </si>
  <si>
    <t>2020-09-24 17:49:40</t>
  </si>
  <si>
    <t xml:space="preserve"> 段文秀-四川太极大药房  发现问题  2020-09-17 13:49:05
王芳-四川太极大药房  整改（已整改）  2020-09-24 17:13:14
 已整改
段文秀-四川太极大药房  复检（通过）  2020-09-24 17:49:40
</t>
  </si>
  <si>
    <t>ID00120613</t>
  </si>
  <si>
    <t>2020-09-10</t>
  </si>
  <si>
    <t>2020-09-13</t>
  </si>
  <si>
    <t>2020-09-24 16:00:50</t>
  </si>
  <si>
    <t>2020-09-24 16:50:13</t>
  </si>
  <si>
    <t>无照片</t>
  </si>
  <si>
    <t xml:space="preserve"> 段文秀-四川太极大药房  发现问题  2020-09-10 15:24:48
张建2-四川太极大药房  整改（已整改）  2020-09-24 16:00:50
段文秀-四川太极大药房  复检（通过）  2020-09-24 16:50:13
</t>
  </si>
  <si>
    <t>ID00120614</t>
  </si>
  <si>
    <t>2020-09-24 16:01:06</t>
  </si>
  <si>
    <t>2020-09-24 16:50:03</t>
  </si>
  <si>
    <t xml:space="preserve"> 段文秀-四川太极大药房  发现问题  2020-09-10 15:24:51
张建2-四川太极大药房  整改（已整改）  2020-09-24 16:01:06
段文秀-四川太极大药房  复检（通过）  2020-09-24 16:50:03
</t>
  </si>
  <si>
    <t>ID00120615</t>
  </si>
  <si>
    <t>2020-09-24 16:01:35</t>
  </si>
  <si>
    <t>2020-09-24 16:49:59</t>
  </si>
  <si>
    <t xml:space="preserve"> 段文秀-四川太极大药房  发现问题  2020-09-10 15:24:54
张建2-四川太极大药房  整改（已整改）  2020-09-24 16:01:35
段文秀-四川太极大药房  复检（通过）  2020-09-24 16:49:59
</t>
  </si>
  <si>
    <t>ID00120616</t>
  </si>
  <si>
    <t>2020-09-24 16:01:51</t>
  </si>
  <si>
    <t>2020-09-24 16:49:54</t>
  </si>
  <si>
    <t xml:space="preserve"> 段文秀-四川太极大药房  发现问题  2020-09-10 15:24:57
张建2-四川太极大药房  整改（已整改）  2020-09-24 16:01:51
段文秀-四川太极大药房  复检（通过）  2020-09-24 16:49:54
</t>
  </si>
  <si>
    <t>ID00120906</t>
  </si>
  <si>
    <t>收银台“围点”攻略：便利商品、应季商品、换购商品、多点陈列品，按公司要求陈列</t>
  </si>
  <si>
    <t>2020-09-24 16:02:38</t>
  </si>
  <si>
    <t>2020-09-24 16:49:48</t>
  </si>
  <si>
    <t xml:space="preserve"> 段文秀-四川太极大药房  发现问题  2020-09-15 14:51:26
张建2-四川太极大药房  整改（已整改）  2020-09-24 16:02:38
段文秀-四川太极大药房  复检（通过）  2020-09-24 16:49:48
</t>
  </si>
  <si>
    <t>ID00120907</t>
  </si>
  <si>
    <t>2020-09-24 16:03:52</t>
  </si>
  <si>
    <t>2020-09-24 16:49:44</t>
  </si>
  <si>
    <t>太乱</t>
  </si>
  <si>
    <t xml:space="preserve"> 段文秀-四川太极大药房  发现问题  2020-09-15 14:51:53
张建2-四川太极大药房  整改（已整改）  2020-09-24 16:03:52
段文秀-四川太极大药房  复检（通过）  2020-09-24 16:49:44
</t>
  </si>
  <si>
    <t>ID00120908</t>
  </si>
  <si>
    <t>2020-09-24 16:04:20</t>
  </si>
  <si>
    <t>2020-09-24 16:49:36</t>
  </si>
  <si>
    <t>有空位</t>
  </si>
  <si>
    <t xml:space="preserve"> 段文秀-四川太极大药房  发现问题  2020-09-15 14:52:14
张建2-四川太极大药房  整改（已整改）  2020-09-24 16:04:20
段文秀-四川太极大药房  复检（通过）  2020-09-24 16:49:36
</t>
  </si>
  <si>
    <t>ID00121097</t>
  </si>
  <si>
    <t>2020-09-24 16:18:26</t>
  </si>
  <si>
    <t>2020-09-24 16:49:27</t>
  </si>
  <si>
    <t xml:space="preserve"> 段文秀-四川太极大药房  发现问题  2020-09-17 13:49:55
张建2-四川太极大药房  整改（已整改）  2020-09-24 16:18:26
段文秀-四川太极大药房  复检（通过）  2020-09-24 16:49:27
</t>
  </si>
  <si>
    <t>ID00121096</t>
  </si>
  <si>
    <t>2020-09-24 16:18:41</t>
  </si>
  <si>
    <t>2020-09-24 16:49:23</t>
  </si>
  <si>
    <t xml:space="preserve"> 段文秀-四川太极大药房  发现问题  2020-09-17 13:49:54
张建2-四川太极大药房  整改（已整改）  2020-09-24 16:18:41
段文秀-四川太极大药房  复检（通过）  2020-09-24 16:49:23
</t>
  </si>
  <si>
    <t>ID00121095</t>
  </si>
  <si>
    <t>2020-09-24 16:18:57</t>
  </si>
  <si>
    <t>2020-09-24 16:49:19</t>
  </si>
  <si>
    <t xml:space="preserve"> 段文秀-四川太极大药房  发现问题  2020-09-17 13:49:53
张建2-四川太极大药房  整改（已整改）  2020-09-24 16:18:57
段文秀-四川太极大药房  复检（通过）  2020-09-24 16:49:19
</t>
  </si>
  <si>
    <t>ID00121094</t>
  </si>
  <si>
    <t>2020-09-24 16:19:12</t>
  </si>
  <si>
    <t>2020-09-24 16:49:14</t>
  </si>
  <si>
    <t xml:space="preserve"> 段文秀-四川太极大药房  发现问题  2020-09-17 13:49:53
张建2-四川太极大药房  整改（已整改）  2020-09-24 16:19:12
段文秀-四川太极大药房  复检（通过）  2020-09-24 16:49:14
</t>
  </si>
  <si>
    <t>ID00121093</t>
  </si>
  <si>
    <t>2020-09-24 16:19:34</t>
  </si>
  <si>
    <t>2020-09-24 16:49:06</t>
  </si>
  <si>
    <t xml:space="preserve"> 段文秀-四川太极大药房  发现问题  2020-09-17 13:49:52
张建2-四川太极大药房  整改（已整改）  2020-09-24 16:19:34
段文秀-四川太极大药房  复检（通过）  2020-09-24 16:49:06
</t>
  </si>
  <si>
    <t>ID00121092</t>
  </si>
  <si>
    <t>2020-09-24 16:19:52</t>
  </si>
  <si>
    <t>2020-09-24 16:49:01</t>
  </si>
  <si>
    <t xml:space="preserve"> 段文秀-四川太极大药房  发现问题  2020-09-17 13:49:51
张建2-四川太极大药房  整改（已整改）  2020-09-24 16:19:52
段文秀-四川太极大药房  复检（通过）  2020-09-24 16:49:01
</t>
  </si>
  <si>
    <t>ID00120936</t>
  </si>
  <si>
    <t>收银台整洁、干净无灰尘，收银台下方线路整齐</t>
  </si>
  <si>
    <t>2020-09-24 16:21:25</t>
  </si>
  <si>
    <t>2020-09-24 16:48:57</t>
  </si>
  <si>
    <t xml:space="preserve"> 段文秀-四川太极大药房  发现问题  2020-09-15 17:57:42
张建2-四川太极大药房  整改（已整改）  2020-09-24 16:21:25
段文秀-四川太极大药房  复检（通过）  2020-09-24 16:48:57
</t>
  </si>
  <si>
    <t>ID00121171</t>
  </si>
  <si>
    <t>2020-09-24 16:26:51</t>
  </si>
  <si>
    <t>2020-09-24 16:48:49</t>
  </si>
  <si>
    <t xml:space="preserve"> 段文秀-四川太极大药房  发现问题  2020-09-18 16:33:23
王芳-四川太极大药房  整改（已整改）  2020-09-24 16:26:51
 已整改
段文秀-四川太极大药房  复检（通过）  2020-09-24 16:48:49
</t>
  </si>
  <si>
    <t>ID00121011</t>
  </si>
  <si>
    <t>2020-09-24 16:38:14</t>
  </si>
  <si>
    <t>2020-09-24 16:48:08</t>
  </si>
  <si>
    <t>罗婷-四川太极大药房</t>
  </si>
  <si>
    <t xml:space="preserve"> 段文秀-四川太极大药房  发现问题  2020-09-17 13:46:10
罗婷-四川太极大药房  整改（已整改）  2020-09-24 16:38:14
 已整改
段文秀-四川太极大药房  复检（通过）  2020-09-24 16:48:08
</t>
  </si>
  <si>
    <t>罗婷</t>
  </si>
  <si>
    <t>ID00120935</t>
  </si>
  <si>
    <t>宣传氛围及陈列（营业部）</t>
  </si>
  <si>
    <t>商品和标价签一一对应，标价签清晰、无破损、无缺失、无涂改</t>
  </si>
  <si>
    <t>2020-09-24 16:39:32</t>
  </si>
  <si>
    <t>2020-09-24 16:48:04</t>
  </si>
  <si>
    <t xml:space="preserve"> 段文秀-四川太极大药房  发现问题  2020-09-15 17:57:42
张建2-四川太极大药房  整改（已整改）  2020-09-24 16:39:32
段文秀-四川太极大药房  复检（通过）  2020-09-24 16:48:04
</t>
  </si>
  <si>
    <t>ID00120909</t>
  </si>
  <si>
    <t>2020-09-24 16:39:53</t>
  </si>
  <si>
    <t>2020-09-24 16:47:59</t>
  </si>
  <si>
    <t xml:space="preserve"> 段文秀-四川太极大药房  发现问题  2020-09-15 14:52:44
张建2-四川太极大药房  整改（已整改）  2020-09-24 16:39:53
段文秀-四川太极大药房  复检（通过）  2020-09-24 16:47:59
</t>
  </si>
  <si>
    <t>ID00121198</t>
  </si>
  <si>
    <t>2020-09-22</t>
  </si>
  <si>
    <t>2020-09-23 15:56:29</t>
  </si>
  <si>
    <t>2020-09-24 16:01:52</t>
  </si>
  <si>
    <t>王慧-四川太极大药房</t>
  </si>
  <si>
    <t>苗凯-四川太极大药房</t>
  </si>
  <si>
    <t xml:space="preserve"> 苗凯-四川太极大药房  发现问题  2020-09-19 19:48:43
王慧-四川太极大药房  整改（已整改）  2020-09-23 15:56:29
苗凯-四川太极大药房  复检（通过）  2020-09-24 16:01:52
</t>
  </si>
  <si>
    <t>王慧</t>
  </si>
  <si>
    <t>ID00121197</t>
  </si>
  <si>
    <t>2020-09-23 15:57:57</t>
  </si>
  <si>
    <t>2020-09-24 16:01:48</t>
  </si>
  <si>
    <t xml:space="preserve"> 苗凯-四川太极大药房  发现问题  2020-09-19 19:48:42
王慧-四川太极大药房  整改（已整改）  2020-09-23 15:57:57
苗凯-四川太极大药房  复检（通过）  2020-09-24 16:01:48
</t>
  </si>
  <si>
    <t>ID00121196</t>
  </si>
  <si>
    <t>2020-09-23 15:58:19</t>
  </si>
  <si>
    <t>2020-09-24 16:01:41</t>
  </si>
  <si>
    <t xml:space="preserve"> 苗凯-四川太极大药房  发现问题  2020-09-19 19:48:42
王慧-四川太极大药房  整改（已整改）  2020-09-23 15:58:19
苗凯-四川太极大药房  复检（通过）  2020-09-24 16:01:41
</t>
  </si>
  <si>
    <t>ID00121195</t>
  </si>
  <si>
    <t>2020-09-23 15:58:55</t>
  </si>
  <si>
    <t>2020-09-24 16:01:37</t>
  </si>
  <si>
    <t xml:space="preserve"> 苗凯-四川太极大药房  发现问题  2020-09-19 19:48:41
王慧-四川太极大药房  整改（已整改）  2020-09-23 15:58:55
苗凯-四川太极大药房  复检（通过）  2020-09-24 16:01:37
</t>
  </si>
  <si>
    <t>ID00121194</t>
  </si>
  <si>
    <t>2020-09-23 15:59:22</t>
  </si>
  <si>
    <t>2020-09-24 16:01:32</t>
  </si>
  <si>
    <t xml:space="preserve"> 苗凯-四川太极大药房  发现问题  2020-09-19 19:48:41
王慧-四川太极大药房  整改（已整改）  2020-09-23 15:59:22
苗凯-四川太极大药房  复检（通过）  2020-09-24 16:01:32
</t>
  </si>
  <si>
    <t>ID00121193</t>
  </si>
  <si>
    <t>2020-09-23 16:12:29</t>
  </si>
  <si>
    <t>2020-09-24 16:01:27</t>
  </si>
  <si>
    <t xml:space="preserve"> 苗凯-四川太极大药房  发现问题  2020-09-19 19:48:40
王慧-四川太极大药房  整改（已整改）  2020-09-23 16:12:29
苗凯-四川太极大药房  复检（通过）  2020-09-24 16:01:27
</t>
  </si>
  <si>
    <t>ID00120766</t>
  </si>
  <si>
    <t>2020-09-23 16:12:53</t>
  </si>
  <si>
    <t>2020-09-24 16:01:21</t>
  </si>
  <si>
    <t xml:space="preserve"> 苗凯-四川太极大药房  发现问题  2020-09-12 11:13:38
王慧-四川太极大药房  整改（已整改）  2020-09-23 16:12:53
苗凯-四川太极大药房  复检（通过）  2020-09-24 16:01:21
</t>
  </si>
  <si>
    <t>ID00120765</t>
  </si>
  <si>
    <t>2020-09-23 16:13:32</t>
  </si>
  <si>
    <t>2020-09-24 16:01:17</t>
  </si>
  <si>
    <t xml:space="preserve"> 苗凯-四川太极大药房  发现问题  2020-09-12 11:13:37
王慧-四川太极大药房  整改（已整改）  2020-09-23 16:13:32
苗凯-四川太极大药房  复检（通过）  2020-09-24 16:01:17
</t>
  </si>
  <si>
    <t>ID00120764</t>
  </si>
  <si>
    <t>2020-09-23 16:13:51</t>
  </si>
  <si>
    <t>2020-09-24 16:01:12</t>
  </si>
  <si>
    <t xml:space="preserve"> 苗凯-四川太极大药房  发现问题  2020-09-12 11:13:36
王慧-四川太极大药房  整改（已整改）  2020-09-23 16:13:51
苗凯-四川太极大药房  复检（通过）  2020-09-24 16:01:12
</t>
  </si>
  <si>
    <t>ID00120763</t>
  </si>
  <si>
    <t>2020-09-23 16:14:11</t>
  </si>
  <si>
    <t>2020-09-24 16:01:08</t>
  </si>
  <si>
    <t xml:space="preserve"> 苗凯-四川太极大药房  发现问题  2020-09-12 11:13:36
王慧-四川太极大药房  整改（已整改）  2020-09-23 16:14:11
苗凯-四川太极大药房  复检（通过）  2020-09-24 16:01:08
</t>
  </si>
  <si>
    <t>ID00120762</t>
  </si>
  <si>
    <t>2020-09-23 16:14:28</t>
  </si>
  <si>
    <t>2020-09-24 16:01:03</t>
  </si>
  <si>
    <t xml:space="preserve"> 苗凯-四川太极大药房  发现问题  2020-09-12 11:13:35
王慧-四川太极大药房  整改（已整改）  2020-09-23 16:14:28
苗凯-四川太极大药房  复检（通过）  2020-09-24 16:01:03
</t>
  </si>
  <si>
    <t>ID00120761</t>
  </si>
  <si>
    <t>2020-09-23 16:14:50</t>
  </si>
  <si>
    <t>2020-09-24 16:00:59</t>
  </si>
  <si>
    <t xml:space="preserve"> 苗凯-四川太极大药房  发现问题  2020-09-12 11:13:35
王慧-四川太极大药房  整改（已整改）  2020-09-23 16:14:50
苗凯-四川太极大药房  复检（通过）  2020-09-24 16:00:59
</t>
  </si>
  <si>
    <t>ID00120611</t>
  </si>
  <si>
    <t>2020-09-24 15:59:49</t>
  </si>
  <si>
    <t>2020-09-24 16:00:51</t>
  </si>
  <si>
    <t xml:space="preserve"> 段文秀-四川太极大药房  发现问题  2020-09-10 15:24:42
张建2-四川太极大药房  整改（已整改）  2020-09-24 15:59:49
段文秀-四川太极大药房  复检（通过）  2020-09-24 16:00:51
</t>
  </si>
  <si>
    <t>ID00120612</t>
  </si>
  <si>
    <t>2020-09-24 16:00:22</t>
  </si>
  <si>
    <t>2020-09-24 16:00:44</t>
  </si>
  <si>
    <t xml:space="preserve"> 段文秀-四川太极大药房  发现问题  2020-09-10 15:24:45
张建2-四川太极大药房  整改（已整改）  2020-09-24 16:00:22
段文秀-四川太极大药房  复检（通过）  2020-09-24 16:00:44
</t>
  </si>
  <si>
    <t>张建3</t>
  </si>
  <si>
    <t>ID00120506</t>
  </si>
  <si>
    <t>货架、分类标识牌、商品干净无灰尘</t>
  </si>
  <si>
    <t>2020-09-23 09:17:45</t>
  </si>
  <si>
    <t>2020-09-24 16:00:14</t>
  </si>
  <si>
    <t>贾兰</t>
  </si>
  <si>
    <t xml:space="preserve"> 段文秀-四川太极大药房  发现问题  2020-09-10 10:12:48
贾兰  整改（已整改）  2020-09-23 09:17:45
段文秀-四川太极大药房  复检（通过）  2020-09-24 16:00:14
</t>
  </si>
  <si>
    <t>ID00120505</t>
  </si>
  <si>
    <t>店招无黑色污渍、张贴残留物，角落无蜘蛛网</t>
  </si>
  <si>
    <t>2020-09-23 09:17:51</t>
  </si>
  <si>
    <t>2020-09-24 16:00:10</t>
  </si>
  <si>
    <t>有蜘蛛网</t>
  </si>
  <si>
    <t xml:space="preserve"> 段文秀-四川太极大药房  发现问题  2020-09-10 10:12:48
贾兰  整改（已整改）  2020-09-23 09:17:51
段文秀-四川太极大药房  复检（通过）  2020-09-24 16:00:10
</t>
  </si>
  <si>
    <t>ID00121245</t>
  </si>
  <si>
    <t>2020-09-23</t>
  </si>
  <si>
    <t>2020-09-23 11:10:20</t>
  </si>
  <si>
    <t>2020-09-24 16:00:06</t>
  </si>
  <si>
    <t>李蕊如-四川太极大药房</t>
  </si>
  <si>
    <t xml:space="preserve"> 段文秀-四川太极大药房  发现问题  2020-09-20 14:27:34
李蕊如-四川太极大药房  整改（已整改）  2020-09-23 11:10:20
段文秀-四川太极大药房  复检（通过）  2020-09-24 16:00:06
</t>
  </si>
  <si>
    <t>ID00121247</t>
  </si>
  <si>
    <t>慢病建档（营运部）</t>
  </si>
  <si>
    <t>慢病建档任务目标</t>
  </si>
  <si>
    <t>2.0</t>
  </si>
  <si>
    <t>2020-09-23 11:12:07</t>
  </si>
  <si>
    <t>2020-09-24 16:00:02</t>
  </si>
  <si>
    <t>一个没有</t>
  </si>
  <si>
    <t xml:space="preserve"> 段文秀-四川太极大药房  发现问题  2020-09-20 14:27:34
李蕊如-四川太极大药房  整改（已整改）  2020-09-23 11:12:07
段文秀-四川太极大药房  复检（通过）  2020-09-24 16:00:02
</t>
  </si>
  <si>
    <t>ID00121246</t>
  </si>
  <si>
    <t>文件重要记录（营业部）</t>
  </si>
  <si>
    <t>室内温湿度是否按时准确记录</t>
  </si>
  <si>
    <t>2020-09-23 11:13:16</t>
  </si>
  <si>
    <t>2020-09-24 15:59:57</t>
  </si>
  <si>
    <t>请准确填写</t>
  </si>
  <si>
    <t xml:space="preserve"> 段文秀-四川太极大药房  发现问题  2020-09-20 14:27:34
李蕊如-四川太极大药房  整改（已整改）  2020-09-23 11:13:16
段文秀-四川太极大药房  复检（通过）  2020-09-24 15:59:57
</t>
  </si>
  <si>
    <t>ID00121091</t>
  </si>
  <si>
    <t>2020-09-23 16:53:46</t>
  </si>
  <si>
    <t>2020-09-24 15:59:45</t>
  </si>
  <si>
    <t xml:space="preserve"> 段文秀-四川太极大药房  发现问题  2020-09-17 13:49:26
罗婷-四川太极大药房  整改（已整改）  2020-09-23 16:53:46
 已整改
段文秀-四川太极大药房  复检（通过）  2020-09-24 15:59:45
</t>
  </si>
  <si>
    <t>ID00121090</t>
  </si>
  <si>
    <t>2020-09-23 16:54:06</t>
  </si>
  <si>
    <t>2020-09-24 15:59:41</t>
  </si>
  <si>
    <t xml:space="preserve"> 段文秀-四川太极大药房  发现问题  2020-09-17 13:49:25
罗婷-四川太极大药房  整改（已整改）  2020-09-23 16:54:06
 已整改
段文秀-四川太极大药房  复检（通过）  2020-09-24 15:59:41
</t>
  </si>
  <si>
    <t>ID00121089</t>
  </si>
  <si>
    <t>2020-09-23 16:54:27</t>
  </si>
  <si>
    <t>2020-09-24 15:59:37</t>
  </si>
  <si>
    <t xml:space="preserve"> 段文秀-四川太极大药房  发现问题  2020-09-17 13:49:24
罗婷-四川太极大药房  整改（已整改）  2020-09-23 16:54:27
 已整改
段文秀-四川太极大药房  复检（通过）  2020-09-24 15:59:37
</t>
  </si>
  <si>
    <t>ID00121088</t>
  </si>
  <si>
    <t>2020-09-23 16:54:57</t>
  </si>
  <si>
    <t>2020-09-24 15:59:33</t>
  </si>
  <si>
    <t xml:space="preserve"> 段文秀-四川太极大药房  发现问题  2020-09-17 13:49:23
罗婷-四川太极大药房  整改（已整改）  2020-09-23 16:54:57
 已整改
段文秀-四川太极大药房  复检（通过）  2020-09-24 15:59:33
</t>
  </si>
  <si>
    <t>ID00120925</t>
  </si>
  <si>
    <t>会员超低特价商品：配有特价插卡</t>
  </si>
  <si>
    <t>-10.0</t>
  </si>
  <si>
    <t>2020-09-23 16:58:42</t>
  </si>
  <si>
    <t>2020-09-24 15:59:28</t>
  </si>
  <si>
    <t>会员超低特价插卡未标识完整</t>
  </si>
  <si>
    <t xml:space="preserve"> 段文秀-四川太极大药房  发现问题  2020-09-15 16:29:46
罗婷-四川太极大药房  整改（已整改）  2020-09-23 16:58:42
 已整改
段文秀-四川太极大药房  复检（通过）  2020-09-24 15:59:28
</t>
  </si>
  <si>
    <t>ID00121087</t>
  </si>
  <si>
    <t>2020-09-23 16:59:16</t>
  </si>
  <si>
    <t>2020-09-24 15:59:18</t>
  </si>
  <si>
    <t xml:space="preserve"> 段文秀-四川太极大药房  发现问题  2020-09-17 13:49:22
罗婷-四川太极大药房  整改（已整改）  2020-09-23 16:59:16
 已整改
段文秀-四川太极大药房  复检（通过）  2020-09-24 15:59:18
</t>
  </si>
  <si>
    <t>ID00121032</t>
  </si>
  <si>
    <t>2020-09-24 12:41:33</t>
  </si>
  <si>
    <t>2020-09-24 15:59:02</t>
  </si>
  <si>
    <t>欧双雪-四川太极大药房</t>
  </si>
  <si>
    <t xml:space="preserve"> 段文秀-四川太极大药房  发现问题  2020-09-17 13:47:36
欧双雪-四川太极大药房  整改（已整改）  2020-09-24 12:41:33
 已整改
段文秀-四川太极大药房  复检（通过）  2020-09-24 15:59:02
</t>
  </si>
  <si>
    <t>欧双雪</t>
  </si>
  <si>
    <t>ID00121033</t>
  </si>
  <si>
    <t>2020-09-24 12:41:54</t>
  </si>
  <si>
    <t>2020-09-24 15:58:57</t>
  </si>
  <si>
    <t xml:space="preserve"> 段文秀-四川太极大药房  发现问题  2020-09-17 13:47:37
欧双雪-四川太极大药房  整改（已整改）  2020-09-24 12:41:54
 已整改
段文秀-四川太极大药房  复检（通过）  2020-09-24 15:58:57
</t>
  </si>
  <si>
    <t>ID00121034</t>
  </si>
  <si>
    <t>2020-09-24 12:42:08</t>
  </si>
  <si>
    <t>2020-09-24 15:58:51</t>
  </si>
  <si>
    <t xml:space="preserve"> 段文秀-四川太极大药房  发现问题  2020-09-17 13:47:38
欧双雪-四川太极大药房  整改（已整改）  2020-09-24 12:42:08
 已整改
段文秀-四川太极大药房  复检（通过）  2020-09-24 15:58:51
</t>
  </si>
  <si>
    <t>ID00121035</t>
  </si>
  <si>
    <t>2020-09-24 12:42:15</t>
  </si>
  <si>
    <t>2020-09-24 15:58:47</t>
  </si>
  <si>
    <t xml:space="preserve"> 段文秀-四川太极大药房  发现问题  2020-09-17 13:47:39
欧双雪-四川太极大药房  整改（已整改）  2020-09-24 12:42:15
 已整改
段文秀-四川太极大药房  复检（通过）  2020-09-24 15:58:47
</t>
  </si>
  <si>
    <t>ID00121036</t>
  </si>
  <si>
    <t>2020-09-24 12:42:23</t>
  </si>
  <si>
    <t>2020-09-24 15:58:43</t>
  </si>
  <si>
    <t xml:space="preserve"> 段文秀-四川太极大药房  发现问题  2020-09-17 13:47:40
欧双雪-四川太极大药房  整改（已整改）  2020-09-24 12:42:23
 已整改
段文秀-四川太极大药房  复检（通过）  2020-09-24 15:58:43
</t>
  </si>
  <si>
    <t>ID00120974</t>
  </si>
  <si>
    <t>2020-09-24 14:13:44</t>
  </si>
  <si>
    <t>2020-09-24 15:58:40</t>
  </si>
  <si>
    <t>吕彩霞-四川太极大药房</t>
  </si>
  <si>
    <t xml:space="preserve"> 何巍-四川太极大药房  发现问题  2020-09-16 23:33:52
吕彩霞-四川太极大药房  整改（已整改）  2020-09-24 14:13:44
何巍-四川太极大药房  复检（通过）  2020-09-24 15:58:40
</t>
  </si>
  <si>
    <t>吕彩霞</t>
  </si>
  <si>
    <t>ID00121037</t>
  </si>
  <si>
    <t>2020-09-24 12:42:30</t>
  </si>
  <si>
    <t>2020-09-24 15:58:38</t>
  </si>
  <si>
    <t xml:space="preserve"> 段文秀-四川太极大药房  发现问题  2020-09-17 13:47:41
欧双雪-四川太极大药房  整改（已整改）  2020-09-24 12:42:30
 已整改
段文秀-四川太极大药房  复检（通过）  2020-09-24 15:58:38
</t>
  </si>
  <si>
    <t>ID00121180</t>
  </si>
  <si>
    <t>2020-09-24 11:45:29</t>
  </si>
  <si>
    <t>2020-09-24 15:58:01</t>
  </si>
  <si>
    <t>黄玲-四川太极大药房</t>
  </si>
  <si>
    <t xml:space="preserve"> 何巍-四川太极大药房  发现问题  2020-09-18 23:19:22
黄玲-四川太极大药房  整改（已整改）  2020-09-24 11:45:29
 已整改
何巍-四川太极大药房  复检（通过）  2020-09-24 15:58:01
</t>
  </si>
  <si>
    <t>黄玲</t>
  </si>
  <si>
    <t>ID00121179</t>
  </si>
  <si>
    <t>2020-09-24 11:46:19</t>
  </si>
  <si>
    <t>2020-09-24 15:57:56</t>
  </si>
  <si>
    <t>柜门及时关闭</t>
  </si>
  <si>
    <t xml:space="preserve"> 何巍-四川太极大药房  发现问题  2020-09-18 23:18:55
黄玲-四川太极大药房  整改（已整改）  2020-09-24 11:46:19
 已整改
何巍-四川太极大药房  复检（通过）  2020-09-24 15:57:56
</t>
  </si>
  <si>
    <t>ID00121183</t>
  </si>
  <si>
    <t>2020-09-24 12:52:21</t>
  </si>
  <si>
    <t>2020-09-24 15:57:50</t>
  </si>
  <si>
    <t>彭志萍-四川太极大药房</t>
  </si>
  <si>
    <t xml:space="preserve"> 何巍-四川太极大药房  发现问题  2020-09-18 23:20:33
彭志萍-四川太极大药房  整改（已整改）  2020-09-24 12:52:21
 收到
何巍-四川太极大药房  复检（通过）  2020-09-24 15:57:50
</t>
  </si>
  <si>
    <t>彭志萍</t>
  </si>
  <si>
    <t>ID00121186</t>
  </si>
  <si>
    <t>卖场地面无明显垃圾，主通道通畅，无杂物、货物堆放</t>
  </si>
  <si>
    <t>2020-09-24 15:20:45</t>
  </si>
  <si>
    <t>2020-09-24 15:57:39</t>
  </si>
  <si>
    <t>廖苹-四川太极大药房</t>
  </si>
  <si>
    <t>箱子里口罩请上架</t>
  </si>
  <si>
    <t xml:space="preserve"> 段文秀-四川太极大药房  发现问题  2020-09-19 17:44:53
廖苹-四川太极大药房  整改（已整改）  2020-09-24 15:20:45
段文秀-四川太极大药房  复检（通过）  2020-09-24 15:57:39
</t>
  </si>
  <si>
    <t>廖苹</t>
  </si>
  <si>
    <t>ID00121185</t>
  </si>
  <si>
    <t>人员与培训（质管部专用）</t>
  </si>
  <si>
    <t>人员相片、执业药师证、健康证上墙公示</t>
  </si>
  <si>
    <t>2020-09-24 15:23:32</t>
  </si>
  <si>
    <t>2020-09-24 15:57:35</t>
  </si>
  <si>
    <t>廖苹照片、健康证</t>
  </si>
  <si>
    <t xml:space="preserve"> 段文秀-四川太极大药房  发现问题  2020-09-19 17:44:53
廖苹-四川太极大药房  整改（已整改）  2020-09-24 15:23:32
段文秀-四川太极大药房  复检（通过）  2020-09-24 15:57:35
</t>
  </si>
  <si>
    <t>ID00120975</t>
  </si>
  <si>
    <t>2020-09-24 14:11:59</t>
  </si>
  <si>
    <t>2020-09-24 15:57:29</t>
  </si>
  <si>
    <t xml:space="preserve"> 何巍-四川太极大药房  发现问题  2020-09-16 23:34:08
吕彩霞-四川太极大药房  整改（已整改）  2020-09-24 14:11:59
何巍-四川太极大药房  复检（通过）  2020-09-24 15:57:29
</t>
  </si>
  <si>
    <t>ID00121115</t>
  </si>
  <si>
    <t>2020-09-24 15:24:04</t>
  </si>
  <si>
    <t>2020-09-24 15:57:28</t>
  </si>
  <si>
    <t xml:space="preserve"> 段文秀-四川太极大药房  发现问题  2020-09-17 13:50:20
廖苹-四川太极大药房  整改（已整改）  2020-09-24 15:24:04
段文秀-四川太极大药房  复检（通过）  2020-09-24 15:57:28
</t>
  </si>
  <si>
    <t>ID00120926</t>
  </si>
  <si>
    <t>2020-09-24 15:55:32</t>
  </si>
  <si>
    <t>2020-09-24 15:57:23</t>
  </si>
  <si>
    <t xml:space="preserve"> 段文秀-四川太极大药房  发现问题  2020-09-15 16:29:46
罗婷-四川太极大药房  整改（已整改）  2020-09-24 15:55:32
 已整改
段文秀-四川太极大药房  复检（通过）  2020-09-24 15:57:23
</t>
  </si>
  <si>
    <t>ID00120973</t>
  </si>
  <si>
    <t>2020-09-24 14:14:21</t>
  </si>
  <si>
    <t xml:space="preserve"> 何巍-四川太极大药房  发现问题  2020-09-16 23:33:26
吕彩霞-四川太极大药房  整改（已整改）  2020-09-24 14:14:21
何巍-四川太极大药房  复检（通过）  2020-09-24 15:57:23
</t>
  </si>
  <si>
    <t>ID00121110</t>
  </si>
  <si>
    <t>2020-09-24 15:24:30</t>
  </si>
  <si>
    <t>2020-09-24 15:57:15</t>
  </si>
  <si>
    <t xml:space="preserve"> 段文秀-四川太极大药房  发现问题  2020-09-17 13:50:16
廖苹-四川太极大药房  整改（已整改）  2020-09-24 15:24:30
段文秀-四川太极大药房  复检（通过）  2020-09-24 15:57:15
</t>
  </si>
  <si>
    <t>ID00121114</t>
  </si>
  <si>
    <t>2020-09-24 15:25:20</t>
  </si>
  <si>
    <t>2020-09-24 15:57:10</t>
  </si>
  <si>
    <t xml:space="preserve"> 段文秀-四川太极大药房  发现问题  2020-09-17 13:50:20
廖苹-四川太极大药房  整改（已整改）  2020-09-24 15:25:20
段文秀-四川太极大药房  复检（通过）  2020-09-24 15:57:10
</t>
  </si>
  <si>
    <t>ID00121113</t>
  </si>
  <si>
    <t>2020-09-24 15:25:44</t>
  </si>
  <si>
    <t>2020-09-24 15:57:05</t>
  </si>
  <si>
    <t xml:space="preserve"> 段文秀-四川太极大药房  发现问题  2020-09-17 13:50:19
廖苹-四川太极大药房  整改（已整改）  2020-09-24 15:25:44
段文秀-四川太极大药房  复检（通过）  2020-09-24 15:57:05
</t>
  </si>
  <si>
    <t>ID00121038</t>
  </si>
  <si>
    <t>2020-09-24 15:26:26</t>
  </si>
  <si>
    <t>2020-09-24 15:57:01</t>
  </si>
  <si>
    <t>易永红-四川太极大药</t>
  </si>
  <si>
    <t xml:space="preserve"> 段文秀-四川太极大药房  发现问题  2020-09-17 13:47:44
易永红-四川太极大药  整改（已整改）  2020-09-24 15:26:26
 已整改
段文秀-四川太极大药房  复检（通过）  2020-09-24 15:57:01
</t>
  </si>
  <si>
    <t>易永红</t>
  </si>
  <si>
    <t>ID00121184</t>
  </si>
  <si>
    <t>2020-09-24 15:27:06</t>
  </si>
  <si>
    <t>2020-09-24 15:56:57</t>
  </si>
  <si>
    <t xml:space="preserve"> 段文秀-四川太极大药房  发现问题  2020-09-19 11:47:10
易永红-四川太极大药  整改（已整改）  2020-09-24 15:27:06
 已整改
段文秀-四川太极大药房  复检（通过）  2020-09-24 15:56:57
</t>
  </si>
  <si>
    <t>ID00121043</t>
  </si>
  <si>
    <t>2020-09-24 15:27:30</t>
  </si>
  <si>
    <t>2020-09-24 15:56:53</t>
  </si>
  <si>
    <t xml:space="preserve"> 段文秀-四川太极大药房  发现问题  2020-09-17 13:47:50
易永红-四川太极大药  整改（已整改）  2020-09-24 15:27:30
 已整改
段文秀-四川太极大药房  复检（通过）  2020-09-24 15:56:53
</t>
  </si>
  <si>
    <t>ID00121042</t>
  </si>
  <si>
    <t>2020-09-24 15:27:59</t>
  </si>
  <si>
    <t>2020-09-24 15:56:49</t>
  </si>
  <si>
    <t xml:space="preserve"> 段文秀-四川太极大药房  发现问题  2020-09-17 13:47:49
易永红-四川太极大药  整改（已整改）  2020-09-24 15:27:59
 已整改
段文秀-四川太极大药房  复检（通过）  2020-09-24 15:56:49
</t>
  </si>
  <si>
    <t>ID00121067</t>
  </si>
  <si>
    <t>2020-09-24 15:28:20</t>
  </si>
  <si>
    <t>2020-09-24 15:56:44</t>
  </si>
  <si>
    <t>毛静静-四川太极大药房</t>
  </si>
  <si>
    <t xml:space="preserve"> 段文秀-四川太极大药房  发现问题  2020-09-17 13:48:28
毛静静-四川太极大药房  整改（已整改）  2020-09-24 15:28:20
段文秀-四川太极大药房  复检（通过）  2020-09-24 15:56:44
</t>
  </si>
  <si>
    <t>毛静静</t>
  </si>
  <si>
    <t>ID00121041</t>
  </si>
  <si>
    <t>2020-09-24 15:28:25</t>
  </si>
  <si>
    <t>2020-09-24 15:56:39</t>
  </si>
  <si>
    <t xml:space="preserve"> 段文秀-四川太极大药房  发现问题  2020-09-17 13:47:47
易永红-四川太极大药  整改（已整改）  2020-09-24 15:28:25
 已整改
段文秀-四川太极大药房  复检（通过）  2020-09-24 15:56:39
</t>
  </si>
  <si>
    <t>ID00121040</t>
  </si>
  <si>
    <t>2020-09-24 15:28:44</t>
  </si>
  <si>
    <t>2020-09-24 15:56:35</t>
  </si>
  <si>
    <t xml:space="preserve"> 段文秀-四川太极大药房  发现问题  2020-09-17 13:47:46
易永红-四川太极大药  整改（已整改）  2020-09-24 15:28:44
 已整改
段文秀-四川太极大药房  复检（通过）  2020-09-24 15:56:35
</t>
  </si>
  <si>
    <t>ID00121062</t>
  </si>
  <si>
    <t>2020-09-24 15:28:47</t>
  </si>
  <si>
    <t>2020-09-24 15:56:24</t>
  </si>
  <si>
    <t xml:space="preserve"> 段文秀-四川太极大药房  发现问题  2020-09-17 13:48:23
毛静静-四川太极大药房  整改（已整改）  2020-09-24 15:28:47
段文秀-四川太极大药房  复检（通过）  2020-09-24 15:56:24
</t>
  </si>
  <si>
    <t>ID00121039</t>
  </si>
  <si>
    <t>2020-09-24 15:29:01</t>
  </si>
  <si>
    <t>2020-09-24 15:56:21</t>
  </si>
  <si>
    <t xml:space="preserve"> 段文秀-四川太极大药房  发现问题  2020-09-17 13:47:45
易永红-四川太极大药  整改（已整改）  2020-09-24 15:29:01
 已整改
段文秀-四川太极大药房  复检（通过）  2020-09-24 15:56:21
</t>
  </si>
  <si>
    <t>ID00121111</t>
  </si>
  <si>
    <t>2020-09-24 15:29:06</t>
  </si>
  <si>
    <t>2020-09-24 15:56:17</t>
  </si>
  <si>
    <t xml:space="preserve"> 段文秀-四川太极大药房  发现问题  2020-09-17 13:50:17
廖苹-四川太极大药房  整改（已整改）  2020-09-24 15:29:06
段文秀-四川太极大药房  复检（通过）  2020-09-24 15:56:17
</t>
  </si>
  <si>
    <t>ID00120947</t>
  </si>
  <si>
    <t>2020-09-24 15:29:12</t>
  </si>
  <si>
    <t>2020-09-24 15:56:04</t>
  </si>
  <si>
    <t xml:space="preserve"> 段文秀-四川太极大药房  发现问题  2020-09-16 13:20:59
毛静静-四川太极大药房  整改（已整改）  2020-09-24 15:29:12
段文秀-四川太极大药房  复检（通过）  2020-09-24 15:56:04
</t>
  </si>
  <si>
    <t>ID00121112</t>
  </si>
  <si>
    <t>2020-09-24 15:29:35</t>
  </si>
  <si>
    <t>2020-09-24 15:56:00</t>
  </si>
  <si>
    <t xml:space="preserve"> 段文秀-四川太极大药房  发现问题  2020-09-17 13:50:18
廖苹-四川太极大药房  整改（已整改）  2020-09-24 15:29:35
段文秀-四川太极大药房  复检（通过）  2020-09-24 15:56:00
</t>
  </si>
  <si>
    <t>ID00120948</t>
  </si>
  <si>
    <t>2020-09-24 15:30:38</t>
  </si>
  <si>
    <t>2020-09-24 15:55:54</t>
  </si>
  <si>
    <t xml:space="preserve"> 段文秀-四川太极大药房  发现问题  2020-09-16 13:21:17
毛静静-四川太极大药房  整改（已整改）  2020-09-24 15:30:38
段文秀-四川太极大药房  复检（通过）  2020-09-24 15:55:54
</t>
  </si>
  <si>
    <t>ID00120946</t>
  </si>
  <si>
    <t>2020-09-24 15:30:48</t>
  </si>
  <si>
    <t>2020-09-24 15:55:50</t>
  </si>
  <si>
    <t xml:space="preserve"> 段文秀-四川太极大药房  发现问题  2020-09-16 13:20:48
毛静静-四川太极大药房  整改（已整改）  2020-09-24 15:30:48
段文秀-四川太极大药房  复检（通过）  2020-09-24 15:55:50
</t>
  </si>
  <si>
    <t>ID00121063</t>
  </si>
  <si>
    <t>2020-09-24 15:31:16</t>
  </si>
  <si>
    <t>2020-09-24 15:55:40</t>
  </si>
  <si>
    <t xml:space="preserve"> 段文秀-四川太极大药房  发现问题  2020-09-17 13:48:24
毛静静-四川太极大药房  整改（已整改）  2020-09-24 15:31:16
段文秀-四川太极大药房  复检（通过）  2020-09-24 15:55:40
</t>
  </si>
  <si>
    <t>ID00120945</t>
  </si>
  <si>
    <t>2020-09-24 15:51:48</t>
  </si>
  <si>
    <t>2020-09-24 15:55:35</t>
  </si>
  <si>
    <t xml:space="preserve"> 段文秀-四川太极大药房  发现问题  2020-09-16 13:20:27
毛静静-四川太极大药房  整改（已整改）  2020-09-24 15:51:48
段文秀-四川太极大药房  复检（通过）  2020-09-24 15:55:35
</t>
  </si>
  <si>
    <t>ID00121066</t>
  </si>
  <si>
    <t>2020-09-24 15:31:42</t>
  </si>
  <si>
    <t>2020-09-24 15:54:43</t>
  </si>
  <si>
    <t xml:space="preserve"> 段文秀-四川太极大药房  发现问题  2020-09-17 13:48:27
毛静静-四川太极大药房  整改（已整改）  2020-09-24 15:31:42
段文秀-四川太极大药房  复检（通过）  2020-09-24 15:54:43
</t>
  </si>
  <si>
    <t>ID00121065</t>
  </si>
  <si>
    <t>2020-09-24 15:41:41</t>
  </si>
  <si>
    <t>2020-09-24 15:52:14</t>
  </si>
  <si>
    <t xml:space="preserve"> 段文秀-四川太极大药房  发现问题  2020-09-17 13:48:26
毛静静-四川太极大药房  整改（已整改）  2020-09-24 15:41:41
段文秀-四川太极大药房  复检（通过）  2020-09-24 15:52:14
</t>
  </si>
  <si>
    <t>ID00121064</t>
  </si>
  <si>
    <t>2020-09-24 15:42:33</t>
  </si>
  <si>
    <t>2020-09-24 15:52:08</t>
  </si>
  <si>
    <t xml:space="preserve"> 段文秀-四川太极大药房  发现问题  2020-09-17 13:48:25
毛静静-四川太极大药房  整改（已整改）  2020-09-24 15:42:33
段文秀-四川太极大药房  复检（通过）  2020-09-24 15:52:08
</t>
  </si>
  <si>
    <t>ID00120592</t>
  </si>
  <si>
    <t>2020-09-24 15:43:49</t>
  </si>
  <si>
    <t>2020-09-24 15:52:03</t>
  </si>
  <si>
    <t xml:space="preserve"> 段文秀-四川太极大药房  发现问题  2020-09-10 15:23:12
王芳-四川太极大药房  整改（已整改）  2020-09-24 15:43:49
 已整改
段文秀-四川太极大药房  复检（通过）  2020-09-24 15:52:03
</t>
  </si>
  <si>
    <t>ID00120950</t>
  </si>
  <si>
    <t>2020-09-24 15:48:33</t>
  </si>
  <si>
    <t>2020-09-24 15:51:45</t>
  </si>
  <si>
    <t xml:space="preserve"> 段文秀-四川太极大药房  发现问题  2020-09-16 13:21:56
毛静静-四川太极大药房  整改（已整改）  2020-09-24 15:48:33
段文秀-四川太极大药房  复检（通过）  2020-09-24 15:51:45
</t>
  </si>
  <si>
    <t>ID00120949</t>
  </si>
  <si>
    <t>2020-09-24 15:50:04</t>
  </si>
  <si>
    <t>2020-09-24 15:51:40</t>
  </si>
  <si>
    <t xml:space="preserve"> 段文秀-四川太极大药房  发现问题  2020-09-16 13:21:43
毛静静-四川太极大药房  整改（已整改）  2020-09-24 15:50:04
段文秀-四川太极大药房  复检（通过）  2020-09-24 15:51:40
</t>
  </si>
  <si>
    <t>ID00120976</t>
  </si>
  <si>
    <t>2020-09-24 14:17:31</t>
  </si>
  <si>
    <t>2020-09-24 15:31:02</t>
  </si>
  <si>
    <t xml:space="preserve"> 何巍-四川太极大药房  发现问题  2020-09-16 23:34:19
吕彩霞-四川太极大药房  整改（已整改）  2020-09-24 14:17:31
何巍-四川太极大药房  复检（通过）  2020-09-24 15:31:02
</t>
  </si>
  <si>
    <t>ID00120477</t>
  </si>
  <si>
    <t>（1）四川太极成华区羊子山西路药店585</t>
  </si>
  <si>
    <t>工作态度（营业部）</t>
  </si>
  <si>
    <t>不玩手机、长时间接听私人电话</t>
  </si>
  <si>
    <t>5.0</t>
  </si>
  <si>
    <t>2020-09-09 20:30:13</t>
  </si>
  <si>
    <t>2020-09-24 14:53:36</t>
  </si>
  <si>
    <t>高红华-四川太极大药房</t>
  </si>
  <si>
    <t>刘美玲-四川太极大药房</t>
  </si>
  <si>
    <t>晚班人员擅自离岗存营业款</t>
  </si>
  <si>
    <t xml:space="preserve"> 刘美玲-四川太极大药房  发现问题  2020-09-09 17:11:30
高红华-四川太极大药房  整改（已整改）  2020-09-09 20:30:13
刘美玲-四川太极大药房  复检（通过）  2020-09-24 14:53:36
</t>
  </si>
  <si>
    <t>刘美玲</t>
  </si>
  <si>
    <t>ID00120480</t>
  </si>
  <si>
    <t>环境卫生（营业部）</t>
  </si>
  <si>
    <t>门店清洁卫生极差，超过2个以上货架有“黑色”灰尘，超过5天未做卫生的。 （未在钉钉日志中上传清洁卫生登记记录）</t>
  </si>
  <si>
    <t>2020-09-09 20:32:37</t>
  </si>
  <si>
    <t>2020-09-24 14:53:29</t>
  </si>
  <si>
    <t>立架及部分端头、保健食品贵灰尘多</t>
  </si>
  <si>
    <t xml:space="preserve"> 刘美玲-四川太极大药房  发现问题  2020-09-09 17:11:30
高红华-四川太极大药房  整改（已整改）  2020-09-09 20:32:37
刘美玲-四川太极大药房  复检（通过）  2020-09-24 14:53:29
</t>
  </si>
  <si>
    <t>ID00120425</t>
  </si>
  <si>
    <t>（1）五福桥东路店112415</t>
  </si>
  <si>
    <t>商品质量（营业部）</t>
  </si>
  <si>
    <t>近效期商品货架上是否标记“心动价”小插卡</t>
  </si>
  <si>
    <t>2020-09-10 15:48:12</t>
  </si>
  <si>
    <t>2020-09-24 14:53:22</t>
  </si>
  <si>
    <t>黄娟-四川太极大药房n</t>
  </si>
  <si>
    <t>无</t>
  </si>
  <si>
    <t xml:space="preserve"> 刘美玲-四川太极大药房  发现问题  2020-09-09 12:03:34
黄娟-四川太极大药房n  整改（已整改）  2020-09-10 15:48:12
刘美玲-四川太极大药房  复检（通过）  2020-09-24 14:53:22
</t>
  </si>
  <si>
    <t>ID00120426</t>
  </si>
  <si>
    <t>单品活动插卡：按要求放置每月单品活动插卡，不干胶内容无误</t>
  </si>
  <si>
    <t>2020-09-10 15:49:25</t>
  </si>
  <si>
    <t>2020-09-24 14:53:11</t>
  </si>
  <si>
    <t>重复插卡</t>
  </si>
  <si>
    <t xml:space="preserve"> 刘美玲-四川太极大药房  发现问题  2020-09-09 12:03:34
黄娟-四川太极大药房n  整改（已整改）  2020-09-10 15:49:25
 已取下
刘美玲-四川太极大药房  复检（通过）  2020-09-24 14:53:11
</t>
  </si>
  <si>
    <t>ID00120427</t>
  </si>
  <si>
    <t>门店存在赠品过期、宣传物料过期情况</t>
  </si>
  <si>
    <t>2020-09-10 15:50:04</t>
  </si>
  <si>
    <t>2020-09-24 14:53:04</t>
  </si>
  <si>
    <t>过期物料</t>
  </si>
  <si>
    <t xml:space="preserve"> 刘美玲-四川太极大药房  发现问题  2020-09-09 12:03:34
黄娟-四川太极大药房n  整改（已整改）  2020-09-10 15:50:04
 已取下
刘美玲-四川太极大药房  复检（通过）  2020-09-24 14:53:04
</t>
  </si>
  <si>
    <t>ID00120428</t>
  </si>
  <si>
    <t>冷柜温湿度是否按时准确记录</t>
  </si>
  <si>
    <t>2020-09-10 15:50:25</t>
  </si>
  <si>
    <t>2020-09-24 14:52:52</t>
  </si>
  <si>
    <t>冰箱有私人物品</t>
  </si>
  <si>
    <t xml:space="preserve"> 刘美玲-四川太极大药房  发现问题  2020-09-09 12:03:34
黄娟-四川太极大药房n  整改（已整改）  2020-09-10 15:50:25
刘美玲-四川太极大药房  复检（通过）  2020-09-24 14:52:52
</t>
  </si>
  <si>
    <t>ID00120429</t>
  </si>
  <si>
    <t>销售管理（营业部）</t>
  </si>
  <si>
    <t>员工了解个人门店本月的品牌月品种及任务目标</t>
  </si>
  <si>
    <t>2020-09-10 15:54:47</t>
  </si>
  <si>
    <t>2020-09-24 14:52:42</t>
  </si>
  <si>
    <t>门店员工不清楚星级品种任务</t>
  </si>
  <si>
    <t xml:space="preserve"> 刘美玲-四川太极大药房  发现问题  2020-09-09 12:03:34
黄娟-四川太极大药房n  整改（已整改）  2020-09-10 15:54:47
 已加强员工培训，已经要求她们熟记
刘美玲-四川太极大药房  复检（通过）  2020-09-24 14:52:42
</t>
  </si>
  <si>
    <t>ID00120455</t>
  </si>
  <si>
    <t>（1）四川太极成华区西林一街店103199</t>
  </si>
  <si>
    <t>收银台陈列按公司要求陈列：便利商品、应季商品、换购商品；</t>
  </si>
  <si>
    <t>2020-09-11 15:38:50</t>
  </si>
  <si>
    <t>2020-09-24 14:52:22</t>
  </si>
  <si>
    <t>秦静茹-四川太极大药房</t>
  </si>
  <si>
    <t>陈列空，未按陈列要求进行陈列</t>
  </si>
  <si>
    <t xml:space="preserve"> 刘美玲-四川太极大药房  发现问题  2020-09-09 15:37:41
秦静茹-四川太极大药房  整改（已整改）  2020-09-11 15:38:50
刘美玲-四川太极大药房  复检（通过）  2020-09-24 14:52:22
</t>
  </si>
  <si>
    <t>ID00120456</t>
  </si>
  <si>
    <t>门店端头摆放非应季商品的</t>
  </si>
  <si>
    <t>2020-09-11 15:39:10</t>
  </si>
  <si>
    <t>2020-09-24 14:52:14</t>
  </si>
  <si>
    <t>货架陈列空</t>
  </si>
  <si>
    <t xml:space="preserve"> 刘美玲-四川太极大药房  发现问题  2020-09-09 15:37:41
秦静茹-四川太极大药房  整改（已整改）  2020-09-11 15:39:10
刘美玲-四川太极大药房  复检（通过）  2020-09-24 14:52:14
</t>
  </si>
  <si>
    <t>ID00120458</t>
  </si>
  <si>
    <t>员工了解个人门店本月的重点品种及任务目标</t>
  </si>
  <si>
    <t>2020-09-11 15:48:38</t>
  </si>
  <si>
    <t>2020-09-24 14:52:07</t>
  </si>
  <si>
    <t>门店员工不清楚星级品种明细</t>
  </si>
  <si>
    <t xml:space="preserve"> 刘美玲-四川太极大药房  发现问题  2020-09-09 15:37:41
秦静茹-四川太极大药房  整改（已整改）  2020-09-11 15:48:38
刘美玲-四川太极大药房  复检（通过）  2020-09-24 14:52:07
</t>
  </si>
  <si>
    <t>ID00120457</t>
  </si>
  <si>
    <t>门店是否按时、按要求进行交接班，并有记录，员工签字确认</t>
  </si>
  <si>
    <t>2020-09-11 15:49:02</t>
  </si>
  <si>
    <t>2020-09-24 14:52:00</t>
  </si>
  <si>
    <t>交接班本未记录每日品种销售情况</t>
  </si>
  <si>
    <t xml:space="preserve"> 刘美玲-四川太极大药房  发现问题  2020-09-09 15:37:41
秦静茹-四川太极大药房  整改（已整改）  2020-09-11 15:49:02
刘美玲-四川太极大药房  复检（通过）  2020-09-24 14:52:00
</t>
  </si>
  <si>
    <t>ID00120479</t>
  </si>
  <si>
    <t>吊旗、爆炸花、POP、海报、插卡等宣传物料齐全无缺失，无破损、开胶、卷边、褪色，无过期内容</t>
  </si>
  <si>
    <t>2020-09-11 16:11:42</t>
  </si>
  <si>
    <t>2020-09-24 14:51:54</t>
  </si>
  <si>
    <t>未更换为新的当季热卖宣传</t>
  </si>
  <si>
    <t xml:space="preserve"> 刘美玲-四川太极大药房  发现问题  2020-09-09 17:11:30
高红华-四川太极大药房  整改（已整改）  2020-09-11 16:11:42
 已整改
刘美玲-四川太极大药房  复检（通过）  2020-09-24 14:51:54
</t>
  </si>
  <si>
    <t>ID00120478</t>
  </si>
  <si>
    <t>效期品种未进行分配的，门店未有登记的</t>
  </si>
  <si>
    <t>2020-09-11 16:12:12</t>
  </si>
  <si>
    <t>2020-09-24 14:51:47</t>
  </si>
  <si>
    <t>9月未分配</t>
  </si>
  <si>
    <t xml:space="preserve"> 刘美玲-四川太极大药房  发现问题  2020-09-09 17:11:30
高红华-四川太极大药房  整改（已整改）  2020-09-11 16:12:12
 已整改
刘美玲-四川太极大药房  复检（通过）  2020-09-24 14:51:47
</t>
  </si>
  <si>
    <t>ID00120757</t>
  </si>
  <si>
    <t>开门打烊（通用）</t>
  </si>
  <si>
    <t>准时开门，无推迟现象</t>
  </si>
  <si>
    <t>2020-09-24 12:41:23</t>
  </si>
  <si>
    <t>2020-09-24 14:50:40</t>
  </si>
  <si>
    <t>张艳</t>
  </si>
  <si>
    <t xml:space="preserve"> 张艳  发现问题  2020-09-12 08:49:10
欧双雪-四川太极大药房  整改（已整改）  2020-09-24 12:41:23
 已整改
张艳  复检（通过）  2020-09-24 14:50:40
</t>
  </si>
  <si>
    <t>ID00120756</t>
  </si>
  <si>
    <t>2020-09-24 12:52:07</t>
  </si>
  <si>
    <t>2020-09-24 14:50:35</t>
  </si>
  <si>
    <t xml:space="preserve"> 张艳  发现问题  2020-09-12 08:46:16
彭志萍-四川太极大药房  整改（已整改）  2020-09-24 12:52:07
张艳  复检（通过）  2020-09-24 14:50:35
</t>
  </si>
  <si>
    <t>ID00121086</t>
  </si>
  <si>
    <t>2020-09-23 16:59:46</t>
  </si>
  <si>
    <t>2020-09-24 10:39:38</t>
  </si>
  <si>
    <t xml:space="preserve"> 段文秀-四川太极大药房  发现问题  2020-09-17 13:49:21
罗婷-四川太极大药房  整改（已整改）  2020-09-23 16:59:46
 已整改
段文秀-四川太极大药房  复检（通过）  2020-09-24 10:39:38
</t>
  </si>
  <si>
    <t>ID00121013</t>
  </si>
  <si>
    <t>2020-09-23 17:00:11</t>
  </si>
  <si>
    <t>2020-09-24 10:39:35</t>
  </si>
  <si>
    <t xml:space="preserve"> 段文秀-四川太极大药房  发现问题  2020-09-17 13:46:51
罗婷-四川太极大药房  整改（已整改）  2020-09-23 17:00:11
 已整改
段文秀-四川太极大药房  复检（通过）  2020-09-24 10:39:35
</t>
  </si>
  <si>
    <t>ID00120928</t>
  </si>
  <si>
    <t>2020-09-23 17:01:37</t>
  </si>
  <si>
    <t>2020-09-24 10:39:32</t>
  </si>
  <si>
    <t xml:space="preserve"> 段文秀-四川太极大药房  发现问题  2020-09-15 16:29:46
罗婷-四川太极大药房  整改（已整改）  2020-09-23 17:01:37
 已整改
段文秀-四川太极大药房  复检（通过）  2020-09-24 10:39:32
</t>
  </si>
  <si>
    <t>ID00120927</t>
  </si>
  <si>
    <t>2020-09-23 17:02:38</t>
  </si>
  <si>
    <t>2020-09-24 10:39:28</t>
  </si>
  <si>
    <t>任务差56个</t>
  </si>
  <si>
    <t xml:space="preserve"> 段文秀-四川太极大药房  发现问题  2020-09-15 16:29:46
罗婷-四川太极大药房  整改（已整改）  2020-09-23 17:02:38
 已完成建档
段文秀-四川太极大药房  复检（通过）  2020-09-24 10:39:28
</t>
  </si>
  <si>
    <t>ID00121012</t>
  </si>
  <si>
    <t>2020-09-23 17:09:39</t>
  </si>
  <si>
    <t>2020-09-24 10:39:24</t>
  </si>
  <si>
    <t xml:space="preserve"> 段文秀-四川太极大药房  发现问题  2020-09-17 13:46:49
罗婷-四川太极大药房  整改（已整改）  2020-09-23 17:09:39
 已整改
段文秀-四川太极大药房  复检（通过）  2020-09-24 10:39:24
</t>
  </si>
  <si>
    <t>ID00120604</t>
  </si>
  <si>
    <t>2020-09-23 17:10:14</t>
  </si>
  <si>
    <t>2020-09-24 10:39:21</t>
  </si>
  <si>
    <t xml:space="preserve"> 段文秀-四川太极大药房  发现问题  2020-09-10 15:24:11
罗婷-四川太极大药房  整改（已整改）  2020-09-23 17:10:14
 已整改
段文秀-四川太极大药房  复检（通过）  2020-09-24 10:39:21
</t>
  </si>
  <si>
    <t>ID00120603</t>
  </si>
  <si>
    <t>2020-09-23 17:10:29</t>
  </si>
  <si>
    <t>2020-09-24 10:39:17</t>
  </si>
  <si>
    <t xml:space="preserve"> 段文秀-四川太极大药房  发现问题  2020-09-10 15:24:08
罗婷-四川太极大药房  整改（已整改）  2020-09-23 17:10:29
 已整改
段文秀-四川太极大药房  复检（通过）  2020-09-24 10:39:17
</t>
  </si>
  <si>
    <t>ID00120602</t>
  </si>
  <si>
    <t>2020-09-23 17:10:45</t>
  </si>
  <si>
    <t>2020-09-24 10:39:13</t>
  </si>
  <si>
    <t xml:space="preserve"> 段文秀-四川太极大药房  发现问题  2020-09-10 15:24:05
罗婷-四川太极大药房  整改（已整改）  2020-09-23 17:10:45
 已整改
段文秀-四川太极大药房  复检（通过）  2020-09-24 10:39:13
</t>
  </si>
  <si>
    <t>ID00120601</t>
  </si>
  <si>
    <t>2020-09-23 17:10:59</t>
  </si>
  <si>
    <t>2020-09-24 10:39:10</t>
  </si>
  <si>
    <t xml:space="preserve"> 段文秀-四川太极大药房  发现问题  2020-09-10 15:24:01
罗婷-四川太极大药房  整改（已整改）  2020-09-23 17:10:59
 已整改
段文秀-四川太极大药房  复检（通过）  2020-09-24 10:39:10
</t>
  </si>
  <si>
    <t>ID00120600</t>
  </si>
  <si>
    <t>2020-09-23 17:11:13</t>
  </si>
  <si>
    <t>2020-09-24 10:39:06</t>
  </si>
  <si>
    <t xml:space="preserve"> 段文秀-四川太极大药房  发现问题  2020-09-10 15:23:58
罗婷-四川太极大药房  整改（已整改）  2020-09-23 17:11:13
 已整改
段文秀-四川太极大药房  复检（通过）  2020-09-24 10:39:06
</t>
  </si>
  <si>
    <t>ID00120599</t>
  </si>
  <si>
    <t>2020-09-23 17:11:27</t>
  </si>
  <si>
    <t>2020-09-24 10:39:02</t>
  </si>
  <si>
    <t xml:space="preserve"> 段文秀-四川太极大药房  发现问题  2020-09-10 15:23:54
罗婷-四川太极大药房  整改（已整改）  2020-09-23 17:11:27
 已整改
段文秀-四川太极大药房  复检（通过）  2020-09-24 10:39:02
</t>
  </si>
  <si>
    <t>ID00120923</t>
  </si>
  <si>
    <t>2020-09-23 19:26:04</t>
  </si>
  <si>
    <t>2020-09-24 10:38:56</t>
  </si>
  <si>
    <t>鲁雪-四川太极大药房</t>
  </si>
  <si>
    <t xml:space="preserve"> 段文秀-四川太极大药房  发现问题  2020-09-15 15:01:16
鲁雪-四川太极大药房  整改（已整改）  2020-09-23 19:26:04
 已整改
段文秀-四川太极大药房  复检（通过）  2020-09-24 10:38:56
</t>
  </si>
  <si>
    <t>鲁雪</t>
  </si>
  <si>
    <t>ID00120922</t>
  </si>
  <si>
    <t>2020-09-23 19:34:47</t>
  </si>
  <si>
    <t>2020-09-24 10:38:52</t>
  </si>
  <si>
    <t>空位</t>
  </si>
  <si>
    <t xml:space="preserve"> 段文秀-四川太极大药房  发现问题  2020-09-15 15:00:31
鲁雪-四川太极大药房  整改（已整改）  2020-09-23 19:34:47
 已整改
段文秀-四川太极大药房  复检（通过）  2020-09-24 10:38:52
</t>
  </si>
  <si>
    <t>ID00120921</t>
  </si>
  <si>
    <t>2020-09-23 19:35:16</t>
  </si>
  <si>
    <t>2020-09-24 10:38:49</t>
  </si>
  <si>
    <t xml:space="preserve"> 段文秀-四川太极大药房  发现问题  2020-09-15 15:00:13
鲁雪-四川太极大药房  整改（已整改）  2020-09-23 19:35:16
 已整改
段文秀-四川太极大药房  复检（通过）  2020-09-24 10:38:49
</t>
  </si>
  <si>
    <t>ID00120831</t>
  </si>
  <si>
    <t>2020-09-23 19:36:06</t>
  </si>
  <si>
    <t>2020-09-24 10:38:45</t>
  </si>
  <si>
    <t xml:space="preserve"> 段文秀-四川太极大药房  发现问题  2020-09-13 14:52:04
鲁雪-四川太极大药房  整改（已整改）  2020-09-23 19:36:06
 已整改
段文秀-四川太极大药房  复检（通过）  2020-09-24 10:38:45
</t>
  </si>
  <si>
    <t>ID00120830</t>
  </si>
  <si>
    <t>2020-09-23 19:36:37</t>
  </si>
  <si>
    <t>2020-09-24 10:38:41</t>
  </si>
  <si>
    <t xml:space="preserve"> 段文秀-四川太极大药房  发现问题  2020-09-13 14:51:50
鲁雪-四川太极大药房  整改（已整改）  2020-09-23 19:36:37
 已整改
段文秀-四川太极大药房  复检（通过）  2020-09-24 10:38:41
</t>
  </si>
  <si>
    <t>ID00120829</t>
  </si>
  <si>
    <t>2020-09-23 19:37:14</t>
  </si>
  <si>
    <t>2020-09-24 10:38:37</t>
  </si>
  <si>
    <t xml:space="preserve"> 段文秀-四川太极大药房  发现问题  2020-09-13 14:51:32
鲁雪-四川太极大药房  整改（已整改）  2020-09-23 19:37:14
 已整改
段文秀-四川太极大药房  复检（通过）  2020-09-24 10:38:37
</t>
  </si>
  <si>
    <t>ID00120755</t>
  </si>
  <si>
    <t>2020-09-23 16:55:51</t>
  </si>
  <si>
    <t>2020-09-23 23:09:36</t>
  </si>
  <si>
    <t xml:space="preserve"> 张艳  发现问题  2020-09-12 08:46:07
罗婷-四川太极大药房  整改（已整改）  2020-09-23 16:55:51
 已整改，准时开门
张艳  复检（通过）  2020-09-23 23:09:36
</t>
  </si>
  <si>
    <t>ID00120825</t>
  </si>
  <si>
    <t>2020-09-23 16:56:36</t>
  </si>
  <si>
    <t>2020-09-23 23:09:31</t>
  </si>
  <si>
    <t xml:space="preserve"> 张艳  发现问题  2020-09-13 10:46:34
罗婷-四川太极大药房  整改（已整改）  2020-09-23 16:56:36
 已整改，按时开门
张艳  复检（通过）  2020-09-23 23:09:31
</t>
  </si>
  <si>
    <t>ID00120759</t>
  </si>
  <si>
    <t>2020-09-23 18:22:46</t>
  </si>
  <si>
    <t>2020-09-23 23:09:25</t>
  </si>
  <si>
    <t>刘成童-四川太极大药房</t>
  </si>
  <si>
    <t xml:space="preserve"> 张艳  发现问题  2020-09-12 08:49:25
刘成童-四川太极大药房  整改（已整改）  2020-09-23 18:22:46
 9.12一报备原因
张艳  复检（通过）  2020-09-23 23:09:25
</t>
  </si>
  <si>
    <t>刘成童</t>
  </si>
  <si>
    <t>ID00121006</t>
  </si>
  <si>
    <t>基础管理（通用）</t>
  </si>
  <si>
    <t>各类证照整齐一致地悬挂在店内醒目位置</t>
  </si>
  <si>
    <t>2020-09-23 18:18:06</t>
  </si>
  <si>
    <t>2020-09-23 18:23:28</t>
  </si>
  <si>
    <t xml:space="preserve"> 段文秀-四川太极大药房  发现问题  2020-09-17 13:41:55
刘成童-四川太极大药房  整改（已整改）  2020-09-23 18:18:06
段文秀-四川太极大药房  复检（通过）  2020-09-23 18:23:28
</t>
  </si>
  <si>
    <t>ID00121005</t>
  </si>
  <si>
    <t>2020-09-23 18:18:22</t>
  </si>
  <si>
    <t>2020-09-23 18:23:17</t>
  </si>
  <si>
    <t xml:space="preserve"> 段文秀-四川太极大药房  发现问题  2020-09-17 13:41:18
刘成童-四川太极大药房  整改（已整改）  2020-09-23 18:18:22
段文秀-四川太极大药房  复检（通过）  2020-09-23 18:23:17
</t>
  </si>
  <si>
    <t>ID00121181</t>
  </si>
  <si>
    <t>2020-09-23 16:52:46</t>
  </si>
  <si>
    <t>2020-09-23 17:09:16</t>
  </si>
  <si>
    <t>周燕-四川太极大药房</t>
  </si>
  <si>
    <t xml:space="preserve"> 何巍-四川太极大药房  发现问题  2020-09-18 23:19:54
周燕-四川太极大药房  整改（已整改）  2020-09-23 16:52:46
 已整改
何巍-四川太极大药房  复检（通过）  2020-09-23 17:09:16
</t>
  </si>
  <si>
    <t>周燕</t>
  </si>
  <si>
    <t>ID00121182</t>
  </si>
  <si>
    <t>2020-09-23 16:52:32</t>
  </si>
  <si>
    <t>2020-09-23 17:09:12</t>
  </si>
  <si>
    <t xml:space="preserve"> 何巍-四川太极大药房  发现问题  2020-09-18 23:20:05
周燕-四川太极大药房  整改（已整改）  2020-09-23 16:52:32
 已整改
何巍-四川太极大药房  复检（通过）  2020-09-23 17:09:12
</t>
  </si>
  <si>
    <t>ID00121240</t>
  </si>
  <si>
    <t>2020-09-20 08:47:33</t>
  </si>
  <si>
    <t>2020-09-23 11:31:24</t>
  </si>
  <si>
    <t>何倩倩-四川太极大药房</t>
  </si>
  <si>
    <t xml:space="preserve"> 苗凯-四川太极大药房  发现问题  2020-09-19 19:51:41
何倩倩-四川太极大药房  整改（已整改）  2020-09-20 08:47:33
 已整改
苗凯-四川太极大药房  复检（通过）  2020-09-23 11:31:24
</t>
  </si>
  <si>
    <t>ID00121239</t>
  </si>
  <si>
    <t>2020-09-20 08:47:42</t>
  </si>
  <si>
    <t>2020-09-23 11:31:20</t>
  </si>
  <si>
    <t xml:space="preserve"> 苗凯-四川太极大药房  发现问题  2020-09-19 19:51:41
何倩倩-四川太极大药房  整改（已整改）  2020-09-20 08:47:42
 已整改
苗凯-四川太极大药房  复检（通过）  2020-09-23 11:31:20
</t>
  </si>
  <si>
    <t>ID00121238</t>
  </si>
  <si>
    <t>2020-09-20 08:47:49</t>
  </si>
  <si>
    <t>2020-09-23 11:31:16</t>
  </si>
  <si>
    <t xml:space="preserve"> 苗凯-四川太极大药房  发现问题  2020-09-19 19:51:40
何倩倩-四川太极大药房  整改（已整改）  2020-09-20 08:47:49
 已整改
苗凯-四川太极大药房  复检（通过）  2020-09-23 11:31:16
</t>
  </si>
  <si>
    <t>ID00121237</t>
  </si>
  <si>
    <t>2020-09-20 08:48:00</t>
  </si>
  <si>
    <t>2020-09-23 11:31:11</t>
  </si>
  <si>
    <t xml:space="preserve"> 苗凯-四川太极大药房  发现问题  2020-09-19 19:51:40
何倩倩-四川太极大药房  整改（已整改）  2020-09-20 08:48:00
 已整改
苗凯-四川太极大药房  复检（通过）  2020-09-23 11:31:11
</t>
  </si>
  <si>
    <t>ID00121236</t>
  </si>
  <si>
    <t>2020-09-20 08:48:06</t>
  </si>
  <si>
    <t>2020-09-23 11:31:07</t>
  </si>
  <si>
    <t xml:space="preserve"> 苗凯-四川太极大药房  发现问题  2020-09-19 19:51:39
何倩倩-四川太极大药房  整改（已整改）  2020-09-20 08:48:06
 已整改
苗凯-四川太极大药房  复检（通过）  2020-09-23 11:31:07
</t>
  </si>
  <si>
    <t>ID00121235</t>
  </si>
  <si>
    <t>2020-09-20 08:48:13</t>
  </si>
  <si>
    <t>2020-09-23 11:31:03</t>
  </si>
  <si>
    <t xml:space="preserve"> 苗凯-四川太极大药房  发现问题  2020-09-19 19:51:39
何倩倩-四川太极大药房  整改（已整改）  2020-09-20 08:48:13
 已整改
苗凯-四川太极大药房  复检（通过）  2020-09-23 11:31:03
</t>
  </si>
  <si>
    <t>ID00121199</t>
  </si>
  <si>
    <t>2020-09-20 09:54:43</t>
  </si>
  <si>
    <t>2020-09-23 11:30:58</t>
  </si>
  <si>
    <t>聂丽-四川太极大药房</t>
  </si>
  <si>
    <t xml:space="preserve"> 苗凯-四川太极大药房  发现问题  2020-09-19 19:49:08
聂丽-四川太极大药房  整改（已整改）  2020-09-20 09:54:43
 已整改请审批
苗凯-四川太极大药房  复检（通过）  2020-09-23 11:30:58
</t>
  </si>
  <si>
    <t>ID00121200</t>
  </si>
  <si>
    <t>2020-09-20 09:54:52</t>
  </si>
  <si>
    <t>2020-09-23 11:30:54</t>
  </si>
  <si>
    <t xml:space="preserve"> 苗凯-四川太极大药房  发现问题  2020-09-19 19:49:10
聂丽-四川太极大药房  整改（已整改）  2020-09-20 09:54:52
 已整改请审批
苗凯-四川太极大药房  复检（通过）  2020-09-23 11:30:54
</t>
  </si>
  <si>
    <t>ID00121201</t>
  </si>
  <si>
    <t>2020-09-20 09:55:02</t>
  </si>
  <si>
    <t>2020-09-23 11:30:50</t>
  </si>
  <si>
    <t xml:space="preserve"> 苗凯-四川太极大药房  发现问题  2020-09-19 19:49:11
聂丽-四川太极大药房  整改（已整改）  2020-09-20 09:55:02
 已整改请审批
苗凯-四川太极大药房  复检（通过）  2020-09-23 11:30:50
</t>
  </si>
  <si>
    <t>ID00121202</t>
  </si>
  <si>
    <t>2020-09-20 09:55:10</t>
  </si>
  <si>
    <t>2020-09-23 11:30:46</t>
  </si>
  <si>
    <t xml:space="preserve"> 苗凯-四川太极大药房  发现问题  2020-09-19 19:49:12
聂丽-四川太极大药房  整改（已整改）  2020-09-20 09:55:10
 已整改请审批
苗凯-四川太极大药房  复检（通过）  2020-09-23 11:30:46
</t>
  </si>
  <si>
    <t>ID00121203</t>
  </si>
  <si>
    <t>2020-09-20 09:55:19</t>
  </si>
  <si>
    <t>2020-09-23 11:30:42</t>
  </si>
  <si>
    <t xml:space="preserve"> 苗凯-四川太极大药房  发现问题  2020-09-19 19:49:13
聂丽-四川太极大药房  整改（已整改）  2020-09-20 09:55:19
 已整改请审批
苗凯-四川太极大药房  复检（通过）  2020-09-23 11:30:42
</t>
  </si>
  <si>
    <t>ID00121204</t>
  </si>
  <si>
    <t>2020-09-20 11:17:59</t>
  </si>
  <si>
    <t>2020-09-23 11:30:37</t>
  </si>
  <si>
    <t xml:space="preserve"> 苗凯-四川太极大药房  发现问题  2020-09-19 19:49:15
聂丽-四川太极大药房  整改（已整改）  2020-09-20 11:17:59
 已整改请审批
苗凯-四川太极大药房  复检（通过）  2020-09-23 11:30:37
</t>
  </si>
  <si>
    <t>ID00121210</t>
  </si>
  <si>
    <t>2020-09-20 13:44:05</t>
  </si>
  <si>
    <t>2020-09-23 11:30:33</t>
  </si>
  <si>
    <t>邓银鑫-四川太极大药房</t>
  </si>
  <si>
    <t xml:space="preserve"> 苗凯-四川太极大药房  发现问题  2020-09-19 19:49:29
邓银鑫-四川太极大药房  整改（已整改）  2020-09-20 13:44:05
 已整改
苗凯-四川太极大药房  复检（通过）  2020-09-23 11:30:33
</t>
  </si>
  <si>
    <t>ID00121209</t>
  </si>
  <si>
    <t>2020-09-20 13:44:24</t>
  </si>
  <si>
    <t>2020-09-23 11:30:29</t>
  </si>
  <si>
    <t xml:space="preserve"> 苗凯-四川太极大药房  发现问题  2020-09-19 19:49:26
邓银鑫-四川太极大药房  整改（已整改）  2020-09-20 13:44:24
 已整改
苗凯-四川太极大药房  复检（通过）  2020-09-23 11:30:29
</t>
  </si>
  <si>
    <t>ID00121208</t>
  </si>
  <si>
    <t>2020-09-20 13:44:45</t>
  </si>
  <si>
    <t>2020-09-23 11:30:22</t>
  </si>
  <si>
    <t xml:space="preserve"> 苗凯-四川太极大药房  发现问题  2020-09-19 19:49:25
邓银鑫-四川太极大药房  整改（已整改）  2020-09-20 13:44:45
 已整改
苗凯-四川太极大药房  复检（通过）  2020-09-23 11:30:22
</t>
  </si>
  <si>
    <t>ID00121207</t>
  </si>
  <si>
    <t>2020-09-20 13:44:57</t>
  </si>
  <si>
    <t>2020-09-23 11:30:18</t>
  </si>
  <si>
    <t xml:space="preserve"> 苗凯-四川太极大药房  发现问题  2020-09-19 19:49:25
邓银鑫-四川太极大药房  整改（已整改）  2020-09-20 13:44:57
 已整改
苗凯-四川太极大药房  复检（通过）  2020-09-23 11:30:18
</t>
  </si>
  <si>
    <t>ID00121206</t>
  </si>
  <si>
    <t>2020-09-20 13:45:08</t>
  </si>
  <si>
    <t>2020-09-23 11:30:14</t>
  </si>
  <si>
    <t xml:space="preserve"> 苗凯-四川太极大药房  发现问题  2020-09-19 19:49:21
邓银鑫-四川太极大药房  整改（已整改）  2020-09-20 13:45:08
 已整改
苗凯-四川太极大药房  复检（通过）  2020-09-23 11:30:14
</t>
  </si>
  <si>
    <t>ID00121205</t>
  </si>
  <si>
    <t>2020-09-20 13:45:19</t>
  </si>
  <si>
    <t>2020-09-23 11:30:10</t>
  </si>
  <si>
    <t xml:space="preserve"> 苗凯-四川太极大药房  发现问题  2020-09-19 19:49:20
邓银鑫-四川太极大药房  整改（已整改）  2020-09-20 13:45:19
 已整改
苗凯-四川太极大药房  复检（通过）  2020-09-23 11:30:10
</t>
  </si>
  <si>
    <t>ID00121187</t>
  </si>
  <si>
    <t>2020-09-20 14:50:57</t>
  </si>
  <si>
    <t>2020-09-23 11:30:05</t>
  </si>
  <si>
    <t>胡建梅-四川太极大药房</t>
  </si>
  <si>
    <t xml:space="preserve"> 苗凯-四川太极大药房  发现问题  2020-09-19 19:48:33
胡建梅-四川太极大药房  整改（已整改）  2020-09-20 14:50:57
 已整改
苗凯-四川太极大药房  复检（通过）  2020-09-23 11:30:05
</t>
  </si>
  <si>
    <t>ID00121192</t>
  </si>
  <si>
    <t>2020-09-20 14:51:26</t>
  </si>
  <si>
    <t>2020-09-23 11:30:01</t>
  </si>
  <si>
    <t xml:space="preserve"> 苗凯-四川太极大药房  发现问题  2020-09-19 19:48:36
胡建梅-四川太极大药房  整改（已整改）  2020-09-20 14:51:26
 已整改
苗凯-四川太极大药房  复检（通过）  2020-09-23 11:30:01
</t>
  </si>
  <si>
    <t>ID00121191</t>
  </si>
  <si>
    <t>2020-09-20 15:22:56</t>
  </si>
  <si>
    <t>2020-09-23 11:29:56</t>
  </si>
  <si>
    <t xml:space="preserve"> 苗凯-四川太极大药房  发现问题  2020-09-19 19:48:35
胡建梅-四川太极大药房  整改（已整改）  2020-09-20 15:22:56
 已整改
苗凯-四川太极大药房  复检（通过）  2020-09-23 11:29:56
</t>
  </si>
  <si>
    <t>ID00121190</t>
  </si>
  <si>
    <t>2020-09-20 15:23:11</t>
  </si>
  <si>
    <t>2020-09-23 11:29:51</t>
  </si>
  <si>
    <t xml:space="preserve"> 苗凯-四川太极大药房  发现问题  2020-09-19 19:48:34
胡建梅-四川太极大药房  整改（已整改）  2020-09-20 15:23:11
 已整改
苗凯-四川太极大药房  复检（通过）  2020-09-23 11:29:51
</t>
  </si>
  <si>
    <t>ID00121189</t>
  </si>
  <si>
    <t>2020-09-20 15:23:28</t>
  </si>
  <si>
    <t>2020-09-23 11:29:47</t>
  </si>
  <si>
    <t xml:space="preserve"> 苗凯-四川太极大药房  发现问题  2020-09-19 19:48:34
胡建梅-四川太极大药房  整改（已整改）  2020-09-20 15:23:28
 已整改
苗凯-四川太极大药房  复检（通过）  2020-09-23 11:29:47
</t>
  </si>
  <si>
    <t>ID00121188</t>
  </si>
  <si>
    <t>2020-09-20 15:23:40</t>
  </si>
  <si>
    <t>2020-09-23 11:29:42</t>
  </si>
  <si>
    <t xml:space="preserve"> 苗凯-四川太极大药房  发现问题  2020-09-19 19:48:33
胡建梅-四川太极大药房  整改（已整改）  2020-09-20 15:23:40
 已整改
苗凯-四川太极大药房  复检（通过）  2020-09-23 11:29:42
</t>
  </si>
  <si>
    <t>ID00121234</t>
  </si>
  <si>
    <t>2020-09-21 22:51:00</t>
  </si>
  <si>
    <t>2020-09-23 11:29:37</t>
  </si>
  <si>
    <t>夏彩红-四川太极大药房</t>
  </si>
  <si>
    <t xml:space="preserve"> 苗凯-四川太极大药房  发现问题  2020-09-19 19:51:17
夏彩红-四川太极大药房  整改（已整改）  2020-09-21 22:51:00
 已整改
苗凯-四川太极大药房  复检（通过）  2020-09-23 11:29:37
</t>
  </si>
  <si>
    <t>ID00121233</t>
  </si>
  <si>
    <t>2020-09-21 22:51:07</t>
  </si>
  <si>
    <t>2020-09-23 11:29:33</t>
  </si>
  <si>
    <t xml:space="preserve"> 苗凯-四川太极大药房  发现问题  2020-09-19 19:51:16
夏彩红-四川太极大药房  整改（已整改）  2020-09-21 22:51:07
 已整改
苗凯-四川太极大药房  复检（通过）  2020-09-23 11:29:33
</t>
  </si>
  <si>
    <t>ID00121232</t>
  </si>
  <si>
    <t>2020-09-21 22:51:14</t>
  </si>
  <si>
    <t>2020-09-23 11:29:28</t>
  </si>
  <si>
    <t xml:space="preserve"> 苗凯-四川太极大药房  发现问题  2020-09-19 19:51:16
夏彩红-四川太极大药房  整改（已整改）  2020-09-21 22:51:14
 已整改
苗凯-四川太极大药房  复检（通过）  2020-09-23 11:29:28
</t>
  </si>
  <si>
    <t>ID00121231</t>
  </si>
  <si>
    <t>2020-09-21 22:51:21</t>
  </si>
  <si>
    <t>2020-09-23 11:29:24</t>
  </si>
  <si>
    <t xml:space="preserve"> 苗凯-四川太极大药房  发现问题  2020-09-19 19:51:15
夏彩红-四川太极大药房  整改（已整改）  2020-09-21 22:51:21
 已整改
苗凯-四川太极大药房  复检（通过）  2020-09-23 11:29:24
</t>
  </si>
  <si>
    <t>ID00121230</t>
  </si>
  <si>
    <t>2020-09-21 22:51:29</t>
  </si>
  <si>
    <t>2020-09-23 11:29:20</t>
  </si>
  <si>
    <t xml:space="preserve"> 苗凯-四川太极大药房  发现问题  2020-09-19 19:51:14
夏彩红-四川太极大药房  整改（已整改）  2020-09-21 22:51:29
 已整改
苗凯-四川太极大药房  复检（通过）  2020-09-23 11:29:20
</t>
  </si>
  <si>
    <t>ID00121229</t>
  </si>
  <si>
    <t>2020-09-21 22:51:35</t>
  </si>
  <si>
    <t>2020-09-23 11:29:16</t>
  </si>
  <si>
    <t xml:space="preserve"> 苗凯-四川太极大药房  发现问题  2020-09-19 19:51:14
夏彩红-四川太极大药房  整改（已整改）  2020-09-21 22:51:35
 已整改
苗凯-四川太极大药房  复检（通过）  2020-09-23 11:29:16
</t>
  </si>
  <si>
    <t>ID00120808</t>
  </si>
  <si>
    <t>2020-09-21 22:51:43</t>
  </si>
  <si>
    <t>2020-09-23 11:29:11</t>
  </si>
  <si>
    <t xml:space="preserve"> 苗凯-四川太极大药房  发现问题  2020-09-12 11:15:11
夏彩红-四川太极大药房  整改（已整改）  2020-09-21 22:51:43
 已整改
苗凯-四川太极大药房  复检（通过）  2020-09-23 11:29:11
</t>
  </si>
  <si>
    <t>ID00120807</t>
  </si>
  <si>
    <t>2020-09-21 22:51:50</t>
  </si>
  <si>
    <t>2020-09-23 11:29:07</t>
  </si>
  <si>
    <t xml:space="preserve"> 苗凯-四川太极大药房  发现问题  2020-09-12 11:15:10
夏彩红-四川太极大药房  整改（已整改）  2020-09-21 22:51:50
 已整改
苗凯-四川太极大药房  复检（通过）  2020-09-23 11:29:07
</t>
  </si>
  <si>
    <t>ID00120806</t>
  </si>
  <si>
    <t>2020-09-21 22:51:56</t>
  </si>
  <si>
    <t>2020-09-23 11:29:03</t>
  </si>
  <si>
    <t xml:space="preserve"> 苗凯-四川太极大药房  发现问题  2020-09-12 11:15:10
夏彩红-四川太极大药房  整改（已整改）  2020-09-21 22:51:56
 已整改
苗凯-四川太极大药房  复检（通过）  2020-09-23 11:29:03
</t>
  </si>
  <si>
    <t>ID00120805</t>
  </si>
  <si>
    <t>2020-09-21 22:52:07</t>
  </si>
  <si>
    <t>2020-09-23 11:28:58</t>
  </si>
  <si>
    <t xml:space="preserve"> 苗凯-四川太极大药房  发现问题  2020-09-12 11:15:09
夏彩红-四川太极大药房  整改（已整改）  2020-09-21 22:52:07
 已整改
苗凯-四川太极大药房  复检（通过）  2020-09-23 11:28:58
</t>
  </si>
  <si>
    <t>ID00120804</t>
  </si>
  <si>
    <t>2020-09-21 22:52:14</t>
  </si>
  <si>
    <t>2020-09-23 11:28:52</t>
  </si>
  <si>
    <t xml:space="preserve"> 苗凯-四川太极大药房  发现问题  2020-09-12 11:15:08
夏彩红-四川太极大药房  整改（已整改）  2020-09-21 22:52:14
 已整改
苗凯-四川太极大药房  复检（通过）  2020-09-23 11:28:52
</t>
  </si>
  <si>
    <t>ID00120803</t>
  </si>
  <si>
    <t>2020-09-21 22:52:21</t>
  </si>
  <si>
    <t>2020-09-23 11:28:47</t>
  </si>
  <si>
    <t xml:space="preserve"> 苗凯-四川太极大药房  发现问题  2020-09-12 11:15:07
夏彩红-四川太极大药房  整改（已整改）  2020-09-21 22:52:21
 已整改
苗凯-四川太极大药房  复检（通过）  2020-09-23 11:28:47
</t>
  </si>
  <si>
    <t>ID00121222</t>
  </si>
  <si>
    <t>2020-09-22 09:30:57</t>
  </si>
  <si>
    <t>2020-09-23 11:28:42</t>
  </si>
  <si>
    <t>孙佳丽-四川太极大药房</t>
  </si>
  <si>
    <t xml:space="preserve"> 苗凯-四川太极大药房  发现问题  2020-09-19 19:49:58
孙佳丽-四川太极大药房  整改（已整改）  2020-09-22 09:30:57
 已整改
苗凯-四川太极大药房  复检（通过）  2020-09-23 11:28:42
</t>
  </si>
  <si>
    <t>ID00121221</t>
  </si>
  <si>
    <t>2020-09-22 09:31:06</t>
  </si>
  <si>
    <t>2020-09-23 11:28:38</t>
  </si>
  <si>
    <t xml:space="preserve"> 苗凯-四川太极大药房  发现问题  2020-09-19 19:49:57
孙佳丽-四川太极大药房  整改（已整改）  2020-09-22 09:31:06
 已整改
苗凯-四川太极大药房  复检（通过）  2020-09-23 11:28:38
</t>
  </si>
  <si>
    <t>ID00121220</t>
  </si>
  <si>
    <t>2020-09-22 09:31:14</t>
  </si>
  <si>
    <t>2020-09-23 11:28:34</t>
  </si>
  <si>
    <t xml:space="preserve"> 苗凯-四川太极大药房  发现问题  2020-09-19 19:49:56
孙佳丽-四川太极大药房  整改（已整改）  2020-09-22 09:31:14
 已整改
苗凯-四川太极大药房  复检（通过）  2020-09-23 11:28:34
</t>
  </si>
  <si>
    <t>ID00121219</t>
  </si>
  <si>
    <t>2020-09-22 09:31:21</t>
  </si>
  <si>
    <t>2020-09-23 11:28:30</t>
  </si>
  <si>
    <t xml:space="preserve"> 苗凯-四川太极大药房  发现问题  2020-09-19 19:49:54
孙佳丽-四川太极大药房  整改（已整改）  2020-09-22 09:31:21
 已整改
苗凯-四川太极大药房  复检（通过）  2020-09-23 11:28:30
</t>
  </si>
  <si>
    <t>ID00121218</t>
  </si>
  <si>
    <t>2020-09-22 09:31:29</t>
  </si>
  <si>
    <t>2020-09-23 11:28:25</t>
  </si>
  <si>
    <t xml:space="preserve"> 苗凯-四川太极大药房  发现问题  2020-09-19 19:49:53
孙佳丽-四川太极大药房  整改（已整改）  2020-09-22 09:31:29
 已整改
苗凯-四川太极大药房  复检（通过）  2020-09-23 11:28:25
</t>
  </si>
  <si>
    <t>ID00121217</t>
  </si>
  <si>
    <t>2020-09-22 09:31:36</t>
  </si>
  <si>
    <t>2020-09-23 11:28:21</t>
  </si>
  <si>
    <t xml:space="preserve"> 苗凯-四川太极大药房  发现问题  2020-09-19 19:49:53
孙佳丽-四川太极大药房  整改（已整改）  2020-09-22 09:31:36
 已整改
苗凯-四川太极大药房  复检（通过）  2020-09-23 11:28:21
</t>
  </si>
  <si>
    <t>ID00121216</t>
  </si>
  <si>
    <t>2020-09-22 15:59:49</t>
  </si>
  <si>
    <t>2020-09-23 11:28:13</t>
  </si>
  <si>
    <t>窦潘-四川太极大药房</t>
  </si>
  <si>
    <t xml:space="preserve"> 苗凯-四川太极大药房  发现问题  2020-09-19 19:49:45
窦潘-四川太极大药房  整改（已整改）  2020-09-22 15:59:49
苗凯-四川太极大药房  复检（通过）  2020-09-23 11:28:13
</t>
  </si>
  <si>
    <t>ID00121215</t>
  </si>
  <si>
    <t>2020-09-22 15:59:57</t>
  </si>
  <si>
    <t>2020-09-23 11:28:09</t>
  </si>
  <si>
    <t xml:space="preserve"> 苗凯-四川太极大药房  发现问题  2020-09-19 19:49:44
窦潘-四川太极大药房  整改（已整改）  2020-09-22 15:59:57
苗凯-四川太极大药房  复检（通过）  2020-09-23 11:28:09
</t>
  </si>
  <si>
    <t>ID00121214</t>
  </si>
  <si>
    <t>2020-09-22 16:00:05</t>
  </si>
  <si>
    <t>2020-09-23 11:28:05</t>
  </si>
  <si>
    <t xml:space="preserve"> 苗凯-四川太极大药房  发现问题  2020-09-19 19:49:43
窦潘-四川太极大药房  整改（已整改）  2020-09-22 16:00:05
苗凯-四川太极大药房  复检（通过）  2020-09-23 11:28:05
</t>
  </si>
  <si>
    <t>ID00121213</t>
  </si>
  <si>
    <t>2020-09-22 16:00:12</t>
  </si>
  <si>
    <t>2020-09-23 11:28:00</t>
  </si>
  <si>
    <t xml:space="preserve"> 苗凯-四川太极大药房  发现问题  2020-09-19 19:49:36
窦潘-四川太极大药房  整改（已整改）  2020-09-22 16:00:12
苗凯-四川太极大药房  复检（通过）  2020-09-23 11:28:00
</t>
  </si>
  <si>
    <t>ID00121212</t>
  </si>
  <si>
    <t>2020-09-22 16:00:18</t>
  </si>
  <si>
    <t>2020-09-23 11:27:56</t>
  </si>
  <si>
    <t xml:space="preserve"> 苗凯-四川太极大药房  发现问题  2020-09-19 19:49:34
窦潘-四川太极大药房  整改（已整改）  2020-09-22 16:00:18
苗凯-四川太极大药房  复检（通过）  2020-09-23 11:27:56
</t>
  </si>
  <si>
    <t>ID00121211</t>
  </si>
  <si>
    <t>2020-09-22 16:00:25</t>
  </si>
  <si>
    <t>2020-09-23 11:27:51</t>
  </si>
  <si>
    <t xml:space="preserve"> 苗凯-四川太极大药房  发现问题  2020-09-19 19:49:33
窦潘-四川太极大药房  整改（已整改）  2020-09-22 16:00:25
苗凯-四川太极大药房  复检（通过）  2020-09-23 11:27:51
</t>
  </si>
  <si>
    <t>ID00121228</t>
  </si>
  <si>
    <t>2020-09-22 23:07:37</t>
  </si>
  <si>
    <t>2020-09-23 11:27:47</t>
  </si>
  <si>
    <t>何丽萍-四川太极大药房</t>
  </si>
  <si>
    <t xml:space="preserve"> 苗凯-四川太极大药房  发现问题  2020-09-19 19:50:18
何丽萍-四川太极大药房  整改（已整改）  2020-09-22 23:07:37
 已整改
苗凯-四川太极大药房  复检（通过）  2020-09-23 11:27:47
</t>
  </si>
  <si>
    <t>ID00121227</t>
  </si>
  <si>
    <t>2020-09-22 23:07:52</t>
  </si>
  <si>
    <t>2020-09-23 11:27:42</t>
  </si>
  <si>
    <t xml:space="preserve"> 苗凯-四川太极大药房  发现问题  2020-09-19 19:50:17
何丽萍-四川太极大药房  整改（已整改）  2020-09-22 23:07:52
 已整改
苗凯-四川太极大药房  复检（通过）  2020-09-23 11:27:42
</t>
  </si>
  <si>
    <t>ID00121226</t>
  </si>
  <si>
    <t>2020-09-22 23:08:05</t>
  </si>
  <si>
    <t>2020-09-23 11:27:38</t>
  </si>
  <si>
    <t xml:space="preserve"> 苗凯-四川太极大药房  发现问题  2020-09-19 19:50:16
何丽萍-四川太极大药房  整改（已整改）  2020-09-22 23:08:05
 已整改
苗凯-四川太极大药房  复检（通过）  2020-09-23 11:27:38
</t>
  </si>
  <si>
    <t>ID00121225</t>
  </si>
  <si>
    <t>2020-09-22 23:08:15</t>
  </si>
  <si>
    <t>2020-09-23 11:27:33</t>
  </si>
  <si>
    <t xml:space="preserve"> 苗凯-四川太极大药房  发现问题  2020-09-19 19:50:15
何丽萍-四川太极大药房  整改（已整改）  2020-09-22 23:08:15
 已整改
苗凯-四川太极大药房  复检（通过）  2020-09-23 11:27:33
</t>
  </si>
  <si>
    <t>ID00121224</t>
  </si>
  <si>
    <t>2020-09-22 23:08:23</t>
  </si>
  <si>
    <t>2020-09-23 11:27:29</t>
  </si>
  <si>
    <t xml:space="preserve"> 苗凯-四川太极大药房  发现问题  2020-09-19 19:50:15
何丽萍-四川太极大药房  整改（已整改）  2020-09-22 23:08:23
 已整改
苗凯-四川太极大药房  复检（通过）  2020-09-23 11:27:29
</t>
  </si>
  <si>
    <t>ID00121223</t>
  </si>
  <si>
    <t>2020-09-22 23:08:31</t>
  </si>
  <si>
    <t>2020-09-23 11:27:24</t>
  </si>
  <si>
    <t xml:space="preserve"> 苗凯-四川太极大药房  发现问题  2020-09-19 19:50:14
何丽萍-四川太极大药房  整改（已整改）  2020-09-22 23:08:31
 已整改
苗凯-四川太极大药房  复检（通过）  2020-09-23 11:27:24
</t>
  </si>
  <si>
    <t>ID00121147</t>
  </si>
  <si>
    <t>2020-09-18 15:29:50</t>
  </si>
  <si>
    <t>2020-09-21 22:58:35</t>
  </si>
  <si>
    <t>杨平2-四川太极大药房</t>
  </si>
  <si>
    <t>任会茹-四川太极大药房</t>
  </si>
  <si>
    <t xml:space="preserve"> 任会茹-四川太极大药房  发现问题  2020-09-17 21:39:52
杨平2-四川太极大药房  整改（已整改）  2020-09-18 15:29:50
 已整改
任会茹-四川太极大药房  复检（通过）  2020-09-21 22:58:35
</t>
  </si>
  <si>
    <t>ID00121148</t>
  </si>
  <si>
    <t>2020-09-19 16:18:34</t>
  </si>
  <si>
    <t>2020-09-21 22:58:31</t>
  </si>
  <si>
    <t>万义丽-四川太极大药房</t>
  </si>
  <si>
    <t xml:space="preserve"> 任会茹-四川太极大药房  发现问题  2020-09-17 21:40:03
万义丽-四川太极大药房  整改（已整改）  2020-09-19 16:18:34
 己整改
任会茹-四川太极大药房  复检（通过）  2020-09-21 22:58:31
</t>
  </si>
  <si>
    <t>ID00121149</t>
  </si>
  <si>
    <t>2020-09-19 16:19:00</t>
  </si>
  <si>
    <t>2020-09-21 22:58:27</t>
  </si>
  <si>
    <t xml:space="preserve"> 任会茹-四川太极大药房  发现问题  2020-09-17 21:40:04
万义丽-四川太极大药房  整改（已整改）  2020-09-19 16:19:00
 己整改
任会茹-四川太极大药房  复检（通过）  2020-09-21 22:58:27
</t>
  </si>
  <si>
    <t>ID00121150</t>
  </si>
  <si>
    <t>2020-09-19 16:19:22</t>
  </si>
  <si>
    <t>2020-09-21 22:58:24</t>
  </si>
  <si>
    <t xml:space="preserve"> 任会茹-四川太极大药房  发现问题  2020-09-17 21:40:05
万义丽-四川太极大药房  整改（已整改）  2020-09-19 16:19:22
 己整改
任会茹-四川太极大药房  复检（通过）  2020-09-21 22:58:24
</t>
  </si>
  <si>
    <t>ID00121151</t>
  </si>
  <si>
    <t>2020-09-19 16:20:33</t>
  </si>
  <si>
    <t>2020-09-21 22:58:17</t>
  </si>
  <si>
    <t xml:space="preserve"> 任会茹-四川太极大药房  发现问题  2020-09-17 21:40:08
万义丽-四川太极大药房  整改（已整改）  2020-09-19 16:20:33
 己整改
任会茹-四川太极大药房  复检（通过）  2020-09-21 22:58:17
</t>
  </si>
  <si>
    <t>ID00121152</t>
  </si>
  <si>
    <t>2020-09-19 16:20:51</t>
  </si>
  <si>
    <t>2020-09-21 22:58:11</t>
  </si>
  <si>
    <t xml:space="preserve"> 任会茹-四川太极大药房  发现问题  2020-09-17 21:40:09
万义丽-四川太极大药房  整改（已整改）  2020-09-19 16:20:51
 己整改
任会茹-四川太极大药房  复检（通过）  2020-09-21 22:58:11
</t>
  </si>
  <si>
    <t>ID00121153</t>
  </si>
  <si>
    <t>2020-09-19 16:21:15</t>
  </si>
  <si>
    <t>2020-09-21 22:58:07</t>
  </si>
  <si>
    <t xml:space="preserve"> 任会茹-四川太极大药房  发现问题  2020-09-17 21:40:10
万义丽-四川太极大药房  整改（已整改）  2020-09-19 16:21:15
 己整改
任会茹-四川太极大药房  复检（通过）  2020-09-21 22:58:07
</t>
  </si>
  <si>
    <t>ID00121140</t>
  </si>
  <si>
    <t>2020-09-19 16:53:07</t>
  </si>
  <si>
    <t>2020-09-21 22:58:03</t>
  </si>
  <si>
    <t>任姗姗-四川太极大药房</t>
  </si>
  <si>
    <t xml:space="preserve"> 任会茹-四川太极大药房  发现问题  2020-09-17 21:39:39
任姗姗-四川太极大药房  整改（已整改）  2020-09-19 16:53:07
任会茹-四川太极大药房  复检（通过）  2020-09-21 22:58:03
</t>
  </si>
  <si>
    <t>ID00121139</t>
  </si>
  <si>
    <t>2020-09-19 16:53:22</t>
  </si>
  <si>
    <t>2020-09-21 22:58:00</t>
  </si>
  <si>
    <t xml:space="preserve"> 任会茹-四川太极大药房  发现问题  2020-09-17 21:39:38
任姗姗-四川太极大药房  整改（已整改）  2020-09-19 16:53:22
任会茹-四川太极大药房  复检（通过）  2020-09-21 22:58:00
</t>
  </si>
  <si>
    <t>ID00121138</t>
  </si>
  <si>
    <t>2020-09-19 16:53:39</t>
  </si>
  <si>
    <t>2020-09-21 22:57:56</t>
  </si>
  <si>
    <t xml:space="preserve"> 任会茹-四川太极大药房  发现问题  2020-09-17 21:39:37
任姗姗-四川太极大药房  整改（已整改）  2020-09-19 16:53:39
任会茹-四川太极大药房  复检（通过）  2020-09-21 22:57:56
</t>
  </si>
  <si>
    <t>ID00121137</t>
  </si>
  <si>
    <t>2020-09-19 16:53:58</t>
  </si>
  <si>
    <t>2020-09-21 22:57:53</t>
  </si>
  <si>
    <t xml:space="preserve"> 任会茹-四川太极大药房  发现问题  2020-09-17 21:39:36
任姗姗-四川太极大药房  整改（已整改）  2020-09-19 16:53:58
任会茹-四川太极大药房  复检（通过）  2020-09-21 22:57:53
</t>
  </si>
  <si>
    <t>ID00121136</t>
  </si>
  <si>
    <t>2020-09-19 16:54:15</t>
  </si>
  <si>
    <t>2020-09-21 22:57:49</t>
  </si>
  <si>
    <t xml:space="preserve"> 任会茹-四川太极大药房  发现问题  2020-09-17 21:39:35
任姗姗-四川太极大药房  整改（已整改）  2020-09-19 16:54:15
任会茹-四川太极大药房  复检（通过）  2020-09-21 22:57:49
</t>
  </si>
  <si>
    <t>ID00121135</t>
  </si>
  <si>
    <t>2020-09-19 16:55:25</t>
  </si>
  <si>
    <t>2020-09-21 22:57:45</t>
  </si>
  <si>
    <t xml:space="preserve"> 任会茹-四川太极大药房  发现问题  2020-09-17 21:39:34
任姗姗-四川太极大药房  整改（已整改）  2020-09-19 16:55:25
任会茹-四川太极大药房  复检（通过）  2020-09-21 22:57:45
</t>
  </si>
  <si>
    <t>ID00121146</t>
  </si>
  <si>
    <t>2020-09-19 17:47:47</t>
  </si>
  <si>
    <t>2020-09-21 22:57:42</t>
  </si>
  <si>
    <t>闵雪-四川太极大药房</t>
  </si>
  <si>
    <t xml:space="preserve"> 任会茹-四川太极大药房  发现问题  2020-09-17 21:39:48
闵雪-四川太极大药房  整改（已整改）  2020-09-19 17:47:47
任会茹-四川太极大药房  复检（通过）  2020-09-21 22:57:42
</t>
  </si>
  <si>
    <t>ID00121145</t>
  </si>
  <si>
    <t>2020-09-19 17:48:01</t>
  </si>
  <si>
    <t>2020-09-21 22:57:38</t>
  </si>
  <si>
    <t xml:space="preserve"> 任会茹-四川太极大药房  发现问题  2020-09-17 21:39:47
闵雪-四川太极大药房  整改（已整改）  2020-09-19 17:48:01
任会茹-四川太极大药房  复检（通过）  2020-09-21 22:57:38
</t>
  </si>
  <si>
    <t>ID00121144</t>
  </si>
  <si>
    <t>2020-09-19 17:48:25</t>
  </si>
  <si>
    <t>2020-09-21 22:57:30</t>
  </si>
  <si>
    <t xml:space="preserve"> 任会茹-四川太极大药房  发现问题  2020-09-17 21:39:46
闵雪-四川太极大药房  整改（已整改）  2020-09-19 17:48:25
任会茹-四川太极大药房  复检（通过）  2020-09-21 22:57:30
</t>
  </si>
  <si>
    <t>ID00121143</t>
  </si>
  <si>
    <t>2020-09-19 17:48:39</t>
  </si>
  <si>
    <t>2020-09-21 22:57:26</t>
  </si>
  <si>
    <t xml:space="preserve"> 任会茹-四川太极大药房  发现问题  2020-09-17 21:39:45
闵雪-四川太极大药房  整改（已整改）  2020-09-19 17:48:39
任会茹-四川太极大药房  复检（通过）  2020-09-21 22:57:26
</t>
  </si>
  <si>
    <t>ID00121141</t>
  </si>
  <si>
    <t>2020-09-19 17:48:58</t>
  </si>
  <si>
    <t>2020-09-21 22:57:23</t>
  </si>
  <si>
    <t xml:space="preserve"> 任会茹-四川太极大药房  发现问题  2020-09-17 21:39:44
闵雪-四川太极大药房  整改（已整改）  2020-09-19 17:48:58
任会茹-四川太极大药房  复检（通过）  2020-09-21 22:57:23
</t>
  </si>
  <si>
    <t>ID00121142</t>
  </si>
  <si>
    <t>2020-09-19 17:49:21</t>
  </si>
  <si>
    <t>2020-09-21 22:57:19</t>
  </si>
  <si>
    <t xml:space="preserve"> 任会茹-四川太极大药房  发现问题  2020-09-17 21:39:45
闵雪-四川太极大药房  整改（已整改）  2020-09-19 17:49:21
任会茹-四川太极大药房  复检（通过）  2020-09-21 22:57:19
</t>
  </si>
  <si>
    <t>ID00120894</t>
  </si>
  <si>
    <t>服务明星评选活动（营运部）</t>
  </si>
  <si>
    <t>是否宣传服务明星活动，并用标准话术</t>
  </si>
  <si>
    <t>2020-09-21 11:02:18</t>
  </si>
  <si>
    <t>2020-09-21 22:49:20</t>
  </si>
  <si>
    <t>任嘉欣-四川太极大药房</t>
  </si>
  <si>
    <t>服务明星加紧推荐宣传!有任务考核!</t>
  </si>
  <si>
    <t xml:space="preserve"> 何巍-四川太极大药房  发现问题  2020-09-15 12:18:38
任嘉欣-四川太极大药房  整改（已整改）  2020-09-21 11:02:18
 收到已整改
何巍-四川太极大药房  复检（通过）  2020-09-21 22:49:20
</t>
  </si>
  <si>
    <t>任嘉欣</t>
  </si>
  <si>
    <t>ID00120890</t>
  </si>
  <si>
    <t>建档登记本资料是否完善</t>
  </si>
  <si>
    <t>2020-09-21 11:03:28</t>
  </si>
  <si>
    <t>2020-09-21 22:49:15</t>
  </si>
  <si>
    <t>纸板资料及时上传!</t>
  </si>
  <si>
    <t xml:space="preserve"> 何巍-四川太极大药房  发现问题  2020-09-15 12:18:38
任嘉欣-四川太极大药房  整改（已整改）  2020-09-21 11:03:28
何巍-四川太极大药房  复检（通过）  2020-09-21 22:49:15
</t>
  </si>
  <si>
    <t>ID00120888</t>
  </si>
  <si>
    <t>门店安全（营运部）</t>
  </si>
  <si>
    <t>营业款是否每天按时入行</t>
  </si>
  <si>
    <t>2020-09-21 11:03:12</t>
  </si>
  <si>
    <t>2020-09-21 22:49:10</t>
  </si>
  <si>
    <t>营业款没有每天存款!</t>
  </si>
  <si>
    <t xml:space="preserve"> 何巍-四川太极大药房  发现问题  2020-09-15 12:18:38
任嘉欣-四川太极大药房  整改（已整改）  2020-09-21 11:03:12
 收到 已整改
何巍-四川太极大药房  复检（通过）  2020-09-21 22:49:10
</t>
  </si>
  <si>
    <t>ID00120884</t>
  </si>
  <si>
    <t>2020-09-21 11:43:20</t>
  </si>
  <si>
    <t>2020-09-21 22:49:00</t>
  </si>
  <si>
    <t>效期品种请分配人头，上传效期分配表给我</t>
  </si>
  <si>
    <t xml:space="preserve"> 何巍-四川太极大药房  发现问题  2020-09-15 12:18:38
任嘉欣-四川太极大药房  整改（已整改）  2020-09-21 11:43:20
 效期金额
何巍-四川太极大药房  复检（通过）  2020-09-21 22:49:00
</t>
  </si>
  <si>
    <t>ID00120881</t>
  </si>
  <si>
    <t>缺货、价格响应（营业部）</t>
  </si>
  <si>
    <t>缺货登记本，信息准确详细</t>
  </si>
  <si>
    <t>2020-09-21 11:03:58</t>
  </si>
  <si>
    <t>2020-09-21 22:48:56</t>
  </si>
  <si>
    <t>缺货品种请用专门的笔记本进行登记!</t>
  </si>
  <si>
    <t xml:space="preserve"> 何巍-四川太极大药房  发现问题  2020-09-15 12:18:38
任嘉欣-四川太极大药房  整改（已整改）  2020-09-21 11:03:58
何巍-四川太极大药房  复检（通过）  2020-09-21 22:48:56
</t>
  </si>
  <si>
    <t>ID00120891</t>
  </si>
  <si>
    <t>店门、橱窗明净通透，无明显污渍、张贴残留物</t>
  </si>
  <si>
    <t>2020-09-21 11:21:16</t>
  </si>
  <si>
    <t>2020-09-21 22:48:50</t>
  </si>
  <si>
    <t>橱窗有明显污渍，请安排打扫!</t>
  </si>
  <si>
    <t xml:space="preserve"> 何巍-四川太极大药房  发现问题  2020-09-15 12:18:38
任嘉欣-四川太极大药房  整改（已整改）  2020-09-21 11:21:16
 橱窗已整改
何巍-四川太极大药房  复检（通过）  2020-09-21 22:48:50
</t>
  </si>
  <si>
    <t>ID00120882</t>
  </si>
  <si>
    <t>商品价格反馈登记本，信息准确详细</t>
  </si>
  <si>
    <t>2020-09-21 11:04:12</t>
  </si>
  <si>
    <t>2020-09-21 22:48:45</t>
  </si>
  <si>
    <t>商品价格，特别是顾客反映价格，及时登记</t>
  </si>
  <si>
    <t xml:space="preserve"> 何巍-四川太极大药房  发现问题  2020-09-15 12:18:38
任嘉欣-四川太极大药房  整改（已整改）  2020-09-21 11:04:12
何巍-四川太极大药房  复检（通过）  2020-09-21 22:48:45
</t>
  </si>
  <si>
    <t>ID00120883</t>
  </si>
  <si>
    <t>门店有过期药品未下柜</t>
  </si>
  <si>
    <t>2020-09-21 11:04:43</t>
  </si>
  <si>
    <t>2020-09-21 22:48:40</t>
  </si>
  <si>
    <t>不合格账中的效期账，及时处理!</t>
  </si>
  <si>
    <t xml:space="preserve"> 何巍-四川太极大药房  发现问题  2020-09-15 12:18:38
任嘉欣-四川太极大药房  整改（已整改）  2020-09-21 11:04:43
 已处理 
何巍-四川太极大药房  复检（通过）  2020-09-21 22:48:40
</t>
  </si>
  <si>
    <t>ID00120893</t>
  </si>
  <si>
    <t>陈列与储存（质管部专用）</t>
  </si>
  <si>
    <t>休息区不得存放药品</t>
  </si>
  <si>
    <t>2020-09-21 11:15:00</t>
  </si>
  <si>
    <t>2020-09-21 22:48:34</t>
  </si>
  <si>
    <t>休息区请摆放整齐!</t>
  </si>
  <si>
    <t xml:space="preserve"> 何巍-四川太极大药房  发现问题  2020-09-15 12:18:38
任嘉欣-四川太极大药房  整改（已整改）  2020-09-21 11:15:00
 已整改
何巍-四川太极大药房  复检（通过）  2020-09-21 22:48:34
</t>
  </si>
  <si>
    <t>ID00120892</t>
  </si>
  <si>
    <t>2020-09-21 11:19:09</t>
  </si>
  <si>
    <t>2020-09-21 22:48:27</t>
  </si>
  <si>
    <t>OTC清热柜、OTC外用柜，货品表面浮灰!及时打扫</t>
  </si>
  <si>
    <t xml:space="preserve"> 何巍-四川太极大药房  发现问题  2020-09-15 12:18:38
任嘉欣-四川太极大药房  整改（已整改）  2020-09-21 11:19:09
 货架卫生
何巍-四川太极大药房  复检（通过）  2020-09-21 22:48:27
</t>
  </si>
  <si>
    <t>ID00120887</t>
  </si>
  <si>
    <t>2020-09-21 11:23:28</t>
  </si>
  <si>
    <t>2020-09-21 22:48:22</t>
  </si>
  <si>
    <t>冷柜超时记录</t>
  </si>
  <si>
    <t xml:space="preserve"> 何巍-四川太极大药房  发现问题  2020-09-15 12:18:38
任嘉欣-四川太极大药房  整改（已整改）  2020-09-21 11:23:28
 已整改
何巍-四川太极大药房  复检（通过）  2020-09-21 22:48:22
</t>
  </si>
  <si>
    <t>ID00120885</t>
  </si>
  <si>
    <t>2020-09-21 11:27:23</t>
  </si>
  <si>
    <t>2020-09-21 22:48:17</t>
  </si>
  <si>
    <t>收银台品种销售后，及时补充，不要空缺!</t>
  </si>
  <si>
    <t xml:space="preserve"> 何巍-四川太极大药房  发现问题  2020-09-15 12:18:38
任嘉欣-四川太极大药房  整改（已整改）  2020-09-21 11:27:23
 收银台空缺已补齐
何巍-四川太极大药房  复检（通过）  2020-09-21 22:48:17
</t>
  </si>
  <si>
    <t>ID00120889</t>
  </si>
  <si>
    <t>2020-09-21 11:22:33</t>
  </si>
  <si>
    <t>2020-09-21 22:48:12</t>
  </si>
  <si>
    <t>慢病建档才完成一个!这个有考核，差异一个按2元进行处罚!</t>
  </si>
  <si>
    <t xml:space="preserve"> 何巍-四川太极大药房  发现问题  2020-09-15 12:18:38
任嘉欣-四川太极大药房  整改（已整改）  2020-09-21 11:22:33
 已整改
何巍-四川太极大药房  复检（通过）  2020-09-21 22:48:12
</t>
  </si>
  <si>
    <t>ID00120886</t>
  </si>
  <si>
    <t>2020-09-21 11:25:34</t>
  </si>
  <si>
    <t>2020-09-21 22:48:07</t>
  </si>
  <si>
    <t>价签有缺失，请及时补充!</t>
  </si>
  <si>
    <t xml:space="preserve"> 何巍-四川太极大药房  发现问题  2020-09-15 12:18:38
任嘉欣-四川太极大药房  整改（已整改）  2020-09-21 11:25:34
 价签已补
何巍-四川太极大药房  复检（通过）  2020-09-21 22:48:07
</t>
  </si>
  <si>
    <t>ID00121121</t>
  </si>
  <si>
    <t>2020-09-20 17:58:57</t>
  </si>
  <si>
    <t>2020-09-21 11:52:36</t>
  </si>
  <si>
    <t>张杰-四川太极大药房</t>
  </si>
  <si>
    <t xml:space="preserve"> 段文秀-四川太极大药房  发现问题  2020-09-17 13:50:27
张杰-四川太极大药房  整改（已整改）  2020-09-20 17:58:57
段文秀-四川太极大药房  复检（通过）  2020-09-21 11:52:36
</t>
  </si>
  <si>
    <t>ID00121120</t>
  </si>
  <si>
    <t>2020-09-20 17:59:10</t>
  </si>
  <si>
    <t>2020-09-21 11:52:32</t>
  </si>
  <si>
    <t xml:space="preserve"> 段文秀-四川太极大药房  发现问题  2020-09-17 13:50:26
张杰-四川太极大药房  整改（已整改）  2020-09-20 17:59:10
段文秀-四川太极大药房  复检（通过）  2020-09-21 11:52:32
</t>
  </si>
  <si>
    <t>ID00121119</t>
  </si>
  <si>
    <t>2020-09-20 17:59:23</t>
  </si>
  <si>
    <t>2020-09-21 11:52:27</t>
  </si>
  <si>
    <t xml:space="preserve"> 段文秀-四川太极大药房  发现问题  2020-09-17 13:50:26
张杰-四川太极大药房  整改（已整改）  2020-09-20 17:59:23
段文秀-四川太极大药房  复检（通过）  2020-09-21 11:52:27
</t>
  </si>
  <si>
    <t>ID00121118</t>
  </si>
  <si>
    <t>2020-09-20 17:59:37</t>
  </si>
  <si>
    <t>2020-09-21 11:52:23</t>
  </si>
  <si>
    <t xml:space="preserve"> 段文秀-四川太极大药房  发现问题  2020-09-17 13:50:26
张杰-四川太极大药房  整改（已整改）  2020-09-20 17:59:37
段文秀-四川太极大药房  复检（通过）  2020-09-21 11:52:23
</t>
  </si>
  <si>
    <t>ID00121117</t>
  </si>
  <si>
    <t>2020-09-20 17:59:51</t>
  </si>
  <si>
    <t>2020-09-21 11:52:19</t>
  </si>
  <si>
    <t xml:space="preserve"> 段文秀-四川太极大药房  发现问题  2020-09-17 13:50:25
张杰-四川太极大药房  整改（已整改）  2020-09-20 17:59:51
段文秀-四川太极大药房  复检（通过）  2020-09-21 11:52:19
</t>
  </si>
  <si>
    <t>ID00121116</t>
  </si>
  <si>
    <t>2020-09-20 18:00:15</t>
  </si>
  <si>
    <t>2020-09-21 11:52:14</t>
  </si>
  <si>
    <t xml:space="preserve"> 段文秀-四川太极大药房  发现问题  2020-09-17 13:50:24
张杰-四川太极大药房  整改（已整改）  2020-09-20 18:00:15
段文秀-四川太极大药房  复检（通过）  2020-09-21 11:52:14
</t>
  </si>
  <si>
    <t>ID00121085</t>
  </si>
  <si>
    <t>2020-09-20 20:47:08</t>
  </si>
  <si>
    <t>2020-09-21 11:52:10</t>
  </si>
  <si>
    <t>蒋雪琴-四川太极大药房</t>
  </si>
  <si>
    <t xml:space="preserve"> 段文秀-四川太极大药房  发现问题  2020-09-17 13:49:18
蒋雪琴-四川太极大药房  整改（已整改）  2020-09-20 20:47:08
段文秀-四川太极大药房  复检（通过）  2020-09-21 11:52:10
</t>
  </si>
  <si>
    <t>ID00121084</t>
  </si>
  <si>
    <t>2020-09-20 20:50:31</t>
  </si>
  <si>
    <t>2020-09-21 11:52:06</t>
  </si>
  <si>
    <t xml:space="preserve"> 段文秀-四川太极大药房  发现问题  2020-09-17 13:49:17
蒋雪琴-四川太极大药房  整改（已整改）  2020-09-20 20:50:31
段文秀-四川太极大药房  复检（通过）  2020-09-21 11:52:06
</t>
  </si>
  <si>
    <t>ID00121083</t>
  </si>
  <si>
    <t>2020-09-20 20:50:56</t>
  </si>
  <si>
    <t>2020-09-21 11:52:01</t>
  </si>
  <si>
    <t xml:space="preserve"> 段文秀-四川太极大药房  发现问题  2020-09-17 13:49:16
蒋雪琴-四川太极大药房  整改（已整改）  2020-09-20 20:50:56
段文秀-四川太极大药房  复检（通过）  2020-09-21 11:52:01
</t>
  </si>
  <si>
    <t>ID00121080</t>
  </si>
  <si>
    <t>2020-09-20 20:51:38</t>
  </si>
  <si>
    <t>2020-09-21 11:51:57</t>
  </si>
  <si>
    <t xml:space="preserve"> 段文秀-四川太极大药房  发现问题  2020-09-17 13:49:13
蒋雪琴-四川太极大药房  整改（已整改）  2020-09-20 20:51:38
段文秀-四川太极大药房  复检（通过）  2020-09-21 11:51:57
</t>
  </si>
  <si>
    <t>ID00121082</t>
  </si>
  <si>
    <t>2020-09-20 20:52:09</t>
  </si>
  <si>
    <t>2020-09-21 11:51:52</t>
  </si>
  <si>
    <t xml:space="preserve"> 段文秀-四川太极大药房  发现问题  2020-09-17 13:49:15
蒋雪琴-四川太极大药房  整改（已整改）  2020-09-20 20:52:09
段文秀-四川太极大药房  复检（通过）  2020-09-21 11:51:52
</t>
  </si>
  <si>
    <t>ID00121081</t>
  </si>
  <si>
    <t>2020-09-20 20:52:37</t>
  </si>
  <si>
    <t>2020-09-21 11:51:47</t>
  </si>
  <si>
    <t xml:space="preserve"> 段文秀-四川太极大药房  发现问题  2020-09-17 13:49:13
蒋雪琴-四川太极大药房  整改（已整改）  2020-09-20 20:52:37
段文秀-四川太极大药房  复检（通过）  2020-09-21 11:51:47
</t>
  </si>
  <si>
    <t>ID00120848</t>
  </si>
  <si>
    <t>2020-09-20 11:29:59</t>
  </si>
  <si>
    <t>2020-09-21 08:59:00</t>
  </si>
  <si>
    <t>毛茜-四川太极大药房</t>
  </si>
  <si>
    <t xml:space="preserve"> 何巍-四川太极大药房  发现问题  2020-09-13 21:22:30
毛茜-四川太极大药房  整改（已整改）  2020-09-20 11:29:59
何巍-四川太极大药房  复检（通过）  2020-09-21 08:59:00
</t>
  </si>
  <si>
    <t>毛茜</t>
  </si>
  <si>
    <t>ID00120941</t>
  </si>
  <si>
    <t>（1）四川太极青羊区蜀辉路店106399</t>
  </si>
  <si>
    <t>2020-09-19 12:17:30</t>
  </si>
  <si>
    <t>2020-09-21 08:12:37</t>
  </si>
  <si>
    <t>付能梅-四川太极大药房</t>
  </si>
  <si>
    <t xml:space="preserve"> 张艳  发现问题  2020-09-16 08:19:02
付能梅-四川太极大药房  整改（已整改）  2020-09-19 12:17:30
 已整改
张艳  复检（通过）  2020-09-21 08:12:37
</t>
  </si>
  <si>
    <t>ID00120826</t>
  </si>
  <si>
    <t>2020-09-19 17:20:11</t>
  </si>
  <si>
    <t>2020-09-21 08:12:26</t>
  </si>
  <si>
    <t>袁咏梅-四川太极大药房</t>
  </si>
  <si>
    <t xml:space="preserve"> 张艳  发现问题  2020-09-13 10:46:45
袁咏梅-四川太极大药房  整改（已整改）  2020-09-19 17:20:11
 已告知门店员工，按时上下班
张艳  复检（通过）  2020-09-21 08:12:26
</t>
  </si>
  <si>
    <t>袁咏梅</t>
  </si>
  <si>
    <t>ID00120547</t>
  </si>
  <si>
    <t>2020-09-20 09:17:16</t>
  </si>
  <si>
    <t>2020-09-20 14:28:27</t>
  </si>
  <si>
    <t>黄姣-四川太极大药房</t>
  </si>
  <si>
    <t xml:space="preserve"> 段文秀-四川太极大药房  发现问题  2020-09-10 14:40:12
黄姣-四川太极大药房  整改（已整改）  2020-09-20 09:17:16
段文秀-四川太极大药房  复检（通过）  2020-09-20 14:28:27
</t>
  </si>
  <si>
    <t>黄姣</t>
  </si>
  <si>
    <t>ID00120546</t>
  </si>
  <si>
    <t>2020-09-20 09:22:00</t>
  </si>
  <si>
    <t>2020-09-20 14:28:16</t>
  </si>
  <si>
    <t>有空位，陈列不整齐</t>
  </si>
  <si>
    <t xml:space="preserve"> 段文秀-四川太极大药房  发现问题  2020-09-10 14:38:12
黄姣-四川太极大药房  整改（已整改）  2020-09-20 09:22:00
段文秀-四川太极大药房  复检（通过）  2020-09-20 14:28:16
</t>
  </si>
  <si>
    <t>ID00120920</t>
  </si>
  <si>
    <t>2020-09-19 17:15:05</t>
  </si>
  <si>
    <t>2020-09-19 21:34:53</t>
  </si>
  <si>
    <t xml:space="preserve"> 段文秀-四川太极大药房  发现问题  2020-09-15 14:59:20
袁咏梅-四川太极大药房  整改（已整改）  2020-09-19 17:15:05
 已整改
段文秀-四川太极大药房  复检（通过）  2020-09-19 21:34:53
</t>
  </si>
  <si>
    <t>ID00120919</t>
  </si>
  <si>
    <t>2020-09-19 17:17:54</t>
  </si>
  <si>
    <t>2020-09-19 21:34:49</t>
  </si>
  <si>
    <t xml:space="preserve"> 段文秀-四川太极大药房  发现问题  2020-09-15 14:58:35
袁咏梅-四川太极大药房  整改（已整改）  2020-09-19 17:17:54
 已整改
段文秀-四川太极大药房  复检（通过）  2020-09-19 21:34:49
</t>
  </si>
  <si>
    <t>ID00120918</t>
  </si>
  <si>
    <t>2020-09-19 17:18:23</t>
  </si>
  <si>
    <t>2020-09-19 21:34:46</t>
  </si>
  <si>
    <t xml:space="preserve"> 段文秀-四川太极大药房  发现问题  2020-09-15 14:58:05
袁咏梅-四川太极大药房  整改（已整改）  2020-09-19 17:18:23
 已整改
段文秀-四川太极大药房  复检（通过）  2020-09-19 21:34:46
</t>
  </si>
  <si>
    <t>ID00120917</t>
  </si>
  <si>
    <t>2020-09-19 17:19:42</t>
  </si>
  <si>
    <t>2020-09-19 21:34:42</t>
  </si>
  <si>
    <t xml:space="preserve"> 段文秀-四川太极大药房  发现问题  2020-09-15 14:57:00
袁咏梅-四川太极大药房  整改（已整改）  2020-09-19 17:19:42
 已整改
段文秀-四川太极大药房  复检（通过）  2020-09-19 21:34:42
</t>
  </si>
  <si>
    <t>ID00120784</t>
  </si>
  <si>
    <t>2020-09-16 18:59:39</t>
  </si>
  <si>
    <t>2020-09-19 19:46:53</t>
  </si>
  <si>
    <t xml:space="preserve"> 苗凯-四川太极大药房  发现问题  2020-09-12 11:14:31
孙佳丽-四川太极大药房  整改（已整改）  2020-09-16 18:59:39
 已整改
苗凯-四川太极大药房  复检（通过）  2020-09-19 19:46:53
</t>
  </si>
  <si>
    <t>孙佳丽</t>
  </si>
  <si>
    <t>ID00120783</t>
  </si>
  <si>
    <t>2020-09-16 18:59:48</t>
  </si>
  <si>
    <t>2020-09-19 19:46:48</t>
  </si>
  <si>
    <t xml:space="preserve"> 苗凯-四川太极大药房  发现问题  2020-09-12 11:14:31
孙佳丽-四川太极大药房  整改（已整改）  2020-09-16 18:59:48
 已整改
苗凯-四川太极大药房  复检（通过）  2020-09-19 19:46:48
</t>
  </si>
  <si>
    <t>ID00120782</t>
  </si>
  <si>
    <t>2020-09-16 18:59:55</t>
  </si>
  <si>
    <t>2020-09-19 19:46:41</t>
  </si>
  <si>
    <t xml:space="preserve"> 苗凯-四川太极大药房  发现问题  2020-09-12 11:14:30
孙佳丽-四川太极大药房  整改（已整改）  2020-09-16 18:59:55
 已整改
苗凯-四川太极大药房  复检（通过）  2020-09-19 19:46:41
</t>
  </si>
  <si>
    <t>ID00120781</t>
  </si>
  <si>
    <t>2020-09-16 19:00:19</t>
  </si>
  <si>
    <t>2020-09-19 19:46:35</t>
  </si>
  <si>
    <t xml:space="preserve"> 苗凯-四川太极大药房  发现问题  2020-09-12 11:14:29
孙佳丽-四川太极大药房  整改（已整改）  2020-09-16 19:00:19
 已整改
苗凯-四川太极大药房  复检（通过）  2020-09-19 19:46:35
</t>
  </si>
  <si>
    <t>ID00120780</t>
  </si>
  <si>
    <t>2020-09-16 19:00:40</t>
  </si>
  <si>
    <t>2020-09-19 19:46:31</t>
  </si>
  <si>
    <t xml:space="preserve"> 苗凯-四川太极大药房  发现问题  2020-09-12 11:14:29
孙佳丽-四川太极大药房  整改（已整改）  2020-09-16 19:00:40
 已整改
苗凯-四川太极大药房  复检（通过）  2020-09-19 19:46:31
</t>
  </si>
  <si>
    <t>ID00120779</t>
  </si>
  <si>
    <t>2020-09-16 19:01:11</t>
  </si>
  <si>
    <t>2020-09-19 19:46:25</t>
  </si>
  <si>
    <t xml:space="preserve"> 苗凯-四川太极大药房  发现问题  2020-09-12 11:14:28
孙佳丽-四川太极大药房  整改（已整改）  2020-09-16 19:01:11
 已整改
苗凯-四川太极大药房  复检（通过）  2020-09-19 19:46:25
</t>
  </si>
  <si>
    <t>ID00120790</t>
  </si>
  <si>
    <t>2020-09-17 20:35:45</t>
  </si>
  <si>
    <t>2020-09-19 19:46:17</t>
  </si>
  <si>
    <t xml:space="preserve"> 苗凯-四川太极大药房  发现问题  2020-09-12 11:14:39
何丽萍-四川太极大药房  整改（已整改）  2020-09-17 20:35:45
 已整改
苗凯-四川太极大药房  复检（通过）  2020-09-19 19:46:17
</t>
  </si>
  <si>
    <t>何丽萍</t>
  </si>
  <si>
    <t>ID00120789</t>
  </si>
  <si>
    <t>2020-09-17 20:36:03</t>
  </si>
  <si>
    <t>2020-09-19 19:46:10</t>
  </si>
  <si>
    <t xml:space="preserve"> 苗凯-四川太极大药房  发现问题  2020-09-12 11:14:38
何丽萍-四川太极大药房  整改（已整改）  2020-09-17 20:36:03
 已整改
苗凯-四川太极大药房  复检（通过）  2020-09-19 19:46:10
</t>
  </si>
  <si>
    <t>ID00120788</t>
  </si>
  <si>
    <t>2020-09-17 20:36:15</t>
  </si>
  <si>
    <t>2020-09-19 19:46:05</t>
  </si>
  <si>
    <t xml:space="preserve"> 苗凯-四川太极大药房  发现问题  2020-09-12 11:14:38
何丽萍-四川太极大药房  整改（已整改）  2020-09-17 20:36:15
 已整改
苗凯-四川太极大药房  复检（通过）  2020-09-19 19:46:05
</t>
  </si>
  <si>
    <t>ID00120787</t>
  </si>
  <si>
    <t>2020-09-17 20:36:24</t>
  </si>
  <si>
    <t>2020-09-19 19:46:00</t>
  </si>
  <si>
    <t xml:space="preserve"> 苗凯-四川太极大药房  发现问题  2020-09-12 11:14:37
何丽萍-四川太极大药房  整改（已整改）  2020-09-17 20:36:24
 已整改
苗凯-四川太极大药房  复检（通过）  2020-09-19 19:46:00
</t>
  </si>
  <si>
    <t>ID00120785</t>
  </si>
  <si>
    <t>2020-09-17 20:37:33</t>
  </si>
  <si>
    <t>2020-09-19 19:45:55</t>
  </si>
  <si>
    <t xml:space="preserve"> 苗凯-四川太极大药房  发现问题  2020-09-12 11:14:36
何丽萍-四川太极大药房  整改（已整改）  2020-09-17 20:37:33
 已整改
苗凯-四川太极大药房  复检（通过）  2020-09-19 19:45:55
</t>
  </si>
  <si>
    <t>ID00120786</t>
  </si>
  <si>
    <t>2020-09-17 20:37:42</t>
  </si>
  <si>
    <t>2020-09-19 19:45:51</t>
  </si>
  <si>
    <t xml:space="preserve"> 苗凯-四川太极大药房  发现问题  2020-09-12 11:14:36
何丽萍-四川太极大药房  整改（已整改）  2020-09-17 20:37:42
 已整改
苗凯-四川太极大药房  复检（通过）  2020-09-19 19:45:51
</t>
  </si>
  <si>
    <t>ID00120746</t>
  </si>
  <si>
    <t>商品陈列（采购部专用）</t>
  </si>
  <si>
    <t>五卡元素（人气商品卡、店长推荐卡、联合用药卡、功能主治卡、活动内容卡）与商品价签、货品--对应</t>
  </si>
  <si>
    <t>2020-09-17 20:37:13</t>
  </si>
  <si>
    <t>2020-09-19 11:52:46</t>
  </si>
  <si>
    <t>业务部—四川太极大药房</t>
  </si>
  <si>
    <t xml:space="preserve"> 业务部—四川太极大药房  发现问题  2020-09-11 19:12:02
何丽萍-四川太极大药房  整改（已整改）  2020-09-17 20:37:13
 已整改
业务部—四川太极大药房  复检（通过）  2020-09-19 11:52:46
</t>
  </si>
  <si>
    <t>ID00120827</t>
  </si>
  <si>
    <t>2020-09-19 10:19:58</t>
  </si>
  <si>
    <t>2020-09-19 10:27:25</t>
  </si>
  <si>
    <t>邹惠-四川太极大药房</t>
  </si>
  <si>
    <t xml:space="preserve"> 段文秀-四川太极大药房  发现问题  2020-09-13 14:48:57
邹惠-四川太极大药房  整改（已整改）  2020-09-19 10:19:58
段文秀-四川太极大药房  复检（不通过）  2020-09-19 10:27:25
邹惠-四川太极大药房  整改（已整改）  2020-09-19 10:28:18
段文秀-四川太极大药房  复检（通过）  2020-09-19 10:29:06
</t>
  </si>
  <si>
    <t>邹惠</t>
  </si>
  <si>
    <t>ID00120828</t>
  </si>
  <si>
    <t>2020-09-19 10:20:35</t>
  </si>
  <si>
    <t>2020-09-19 10:26:35</t>
  </si>
  <si>
    <t xml:space="preserve"> 段文秀-四川太极大药房  发现问题  2020-09-13 14:49:30
邹惠-四川太极大药房  整改（已整改）  2020-09-19 10:20:35
段文秀-四川太极大药房  复检（通过）  2020-09-19 10:26:35
</t>
  </si>
  <si>
    <t>ID00120857</t>
  </si>
  <si>
    <t>价签专项检查（商品部）</t>
  </si>
  <si>
    <t>价签上物价员未按照毛利段进行打印陈列</t>
  </si>
  <si>
    <t>2020-09-15 18:07:30</t>
  </si>
  <si>
    <t>2020-09-18 20:46:12</t>
  </si>
  <si>
    <t>汪婷-四川太极大药房</t>
  </si>
  <si>
    <t>无价签</t>
  </si>
  <si>
    <t xml:space="preserve"> 刘琴英-四川太极大药房  发现问题  2020-09-14 12:25:44
汪婷-四川太极大药房  整改（已整改）  2020-09-15 18:07:30
刘琴英-四川太极大药房  复检（通过）  2020-09-18 20:46:12
</t>
  </si>
  <si>
    <t>ID00120284</t>
  </si>
  <si>
    <t>2020-09-06</t>
  </si>
  <si>
    <t>2020-09-18 12:14:57</t>
  </si>
  <si>
    <t>2020-09-18 16:27:23</t>
  </si>
  <si>
    <t xml:space="preserve"> 段文秀-四川太极大药房  发现问题  2020-09-06 08:42:16
黄姣-四川太极大药房  整改（已整改）  2020-09-18 12:14:57
段文秀-四川太极大药房  复检（通过）  2020-09-18 16:27:23
</t>
  </si>
  <si>
    <t>ID00120285</t>
  </si>
  <si>
    <t>2020-09-18 12:24:50</t>
  </si>
  <si>
    <t>2020-09-18 16:27:07</t>
  </si>
  <si>
    <t xml:space="preserve"> 段文秀-四川太极大药房  发现问题  2020-09-06 08:42:16
黄姣-四川太极大药房  整改（已整改）  2020-09-18 12:24:50
段文秀-四川太极大药房  复检（通过）  2020-09-18 16:27:07
</t>
  </si>
  <si>
    <t>ID00120687</t>
  </si>
  <si>
    <t>2020-09-15 15:19:53</t>
  </si>
  <si>
    <t>2020-09-16 23:30:48</t>
  </si>
  <si>
    <t>赵芮莹-四川太极大药房</t>
  </si>
  <si>
    <t xml:space="preserve"> 何巍-四川太极大药房  发现问题  2020-09-11 14:36:48
赵芮莹-四川太极大药房  整改（已整改）  2020-09-15 15:19:53
 已整改
何巍-四川太极大药房  复检（通过）  2020-09-16 23:30:48
</t>
  </si>
  <si>
    <t>赵芮莹</t>
  </si>
  <si>
    <t>ID00120441</t>
  </si>
  <si>
    <t>2020-09-14 11:30:01</t>
  </si>
  <si>
    <t>2020-09-16 21:26:28</t>
  </si>
  <si>
    <t>胡新-四川太极大药房</t>
  </si>
  <si>
    <t>代琳-四川太极大药房</t>
  </si>
  <si>
    <t>部分商品无价签</t>
  </si>
  <si>
    <t xml:space="preserve"> 代琳-四川太极大药房  发现问题  2020-09-09 12:34:55
胡新-四川太极大药房  整改（已整改）  2020-09-14 11:30:01
代琳-四川太极大药房  复检（通过）  2020-09-16 21:26:28
</t>
  </si>
  <si>
    <t>胡新</t>
  </si>
  <si>
    <t>ID00120821</t>
  </si>
  <si>
    <t>2020-09-15 16:18:58</t>
  </si>
  <si>
    <t>2020-09-16 09:21:41</t>
  </si>
  <si>
    <t xml:space="preserve"> 苗凯-四川太极大药房  发现问题  2020-09-12 11:17:52
何倩倩-四川太极大药房  整改（已整改）  2020-09-15 16:18:58
 已整改
苗凯-四川太极大药房  复检（通过）  2020-09-16 09:21:41
</t>
  </si>
  <si>
    <t>ID00120820</t>
  </si>
  <si>
    <t>2020-09-15 16:19:09</t>
  </si>
  <si>
    <t>2020-09-16 09:21:31</t>
  </si>
  <si>
    <t xml:space="preserve"> 苗凯-四川太极大药房  发现问题  2020-09-12 11:15:26
何倩倩-四川太极大药房  整改（已整改）  2020-09-15 16:19:09
 已整改
苗凯-四川太极大药房  复检（通过）  2020-09-16 09:21:31
</t>
  </si>
  <si>
    <t>ID00120819</t>
  </si>
  <si>
    <t>2020-09-15 16:19:17</t>
  </si>
  <si>
    <t>2020-09-16 09:21:27</t>
  </si>
  <si>
    <t xml:space="preserve"> 苗凯-四川太极大药房  发现问题  2020-09-12 11:15:26
何倩倩-四川太极大药房  整改（已整改）  2020-09-15 16:19:17
 已整改
苗凯-四川太极大药房  复检（通过）  2020-09-16 09:21:27
</t>
  </si>
  <si>
    <t>ID00120818</t>
  </si>
  <si>
    <t>2020-09-15 16:19:27</t>
  </si>
  <si>
    <t>2020-09-16 09:21:23</t>
  </si>
  <si>
    <t xml:space="preserve"> 苗凯-四川太极大药房  发现问题  2020-09-12 11:15:25
何倩倩-四川太极大药房  整改（已整改）  2020-09-15 16:19:27
 已整改
苗凯-四川太极大药房  复检（通过）  2020-09-16 09:21:23
</t>
  </si>
  <si>
    <t>ID00120817</t>
  </si>
  <si>
    <t>2020-09-15 16:19:33</t>
  </si>
  <si>
    <t>2020-09-16 09:21:19</t>
  </si>
  <si>
    <t xml:space="preserve"> 苗凯-四川太极大药房  发现问题  2020-09-12 11:15:24
何倩倩-四川太极大药房  整改（已整改）  2020-09-15 16:19:33
 已整改
苗凯-四川太极大药房  复检（通过）  2020-09-16 09:21:19
</t>
  </si>
  <si>
    <t>ID00120816</t>
  </si>
  <si>
    <t>2020-09-15 16:19:47</t>
  </si>
  <si>
    <t>2020-09-16 09:21:15</t>
  </si>
  <si>
    <t xml:space="preserve"> 苗凯-四川太极大药房  发现问题  2020-09-12 11:15:24
何倩倩-四川太极大药房  整改（已整改）  2020-09-15 16:19:47
 已整改
苗凯-四川太极大药房  复检（通过）  2020-09-16 09:21:15
</t>
  </si>
  <si>
    <t>ID00120815</t>
  </si>
  <si>
    <t>2020-09-15 16:19:53</t>
  </si>
  <si>
    <t>2020-09-16 09:21:10</t>
  </si>
  <si>
    <t xml:space="preserve"> 苗凯-四川太极大药房  发现问题  2020-09-12 11:15:23
何倩倩-四川太极大药房  整改（已整改）  2020-09-15 16:19:53
 已整改
苗凯-四川太极大药房  复检（通过）  2020-09-16 09:21:10
</t>
  </si>
  <si>
    <t>ID00120767</t>
  </si>
  <si>
    <t>2020-09-15 17:19:18</t>
  </si>
  <si>
    <t>2020-09-16 09:21:05</t>
  </si>
  <si>
    <t>朱玉梅-四川太极大药房</t>
  </si>
  <si>
    <t xml:space="preserve"> 苗凯-四川太极大药房  发现问题  2020-09-12 11:13:42
朱玉梅-四川太极大药房  整改（已整改）  2020-09-15 17:19:18
 已整改
苗凯-四川太极大药房  复检（通过）  2020-09-16 09:21:05
</t>
  </si>
  <si>
    <t>ID00120768</t>
  </si>
  <si>
    <t>2020-09-15 17:20:09</t>
  </si>
  <si>
    <t>2020-09-16 09:20:58</t>
  </si>
  <si>
    <t xml:space="preserve"> 苗凯-四川太极大药房  发现问题  2020-09-12 11:13:43
朱玉梅-四川太极大药房  整改（已整改）  2020-09-15 17:20:09
 已整改
苗凯-四川太极大药房  复检（通过）  2020-09-16 09:20:58
</t>
  </si>
  <si>
    <t>ID00120772</t>
  </si>
  <si>
    <t>2020-09-15 17:20:18</t>
  </si>
  <si>
    <t>2020-09-16 09:20:54</t>
  </si>
  <si>
    <t xml:space="preserve"> 苗凯-四川太极大药房  发现问题  2020-09-12 11:13:49
朱玉梅-四川太极大药房  整改（已整改）  2020-09-15 17:20:18
 已整改
苗凯-四川太极大药房  复检（通过）  2020-09-16 09:20:54
</t>
  </si>
  <si>
    <t>ID00120771</t>
  </si>
  <si>
    <t>2020-09-15 17:20:38</t>
  </si>
  <si>
    <t>2020-09-16 09:20:49</t>
  </si>
  <si>
    <t xml:space="preserve"> 苗凯-四川太极大药房  发现问题  2020-09-12 11:13:45
朱玉梅-四川太极大药房  整改（已整改）  2020-09-15 17:20:38
 已整改
苗凯-四川太极大药房  复检（通过）  2020-09-16 09:20:49
</t>
  </si>
  <si>
    <t>ID00120769</t>
  </si>
  <si>
    <t>2020-09-15 17:20:51</t>
  </si>
  <si>
    <t>2020-09-16 09:20:45</t>
  </si>
  <si>
    <t xml:space="preserve"> 苗凯-四川太极大药房  发现问题  2020-09-12 11:13:43
朱玉梅-四川太极大药房  整改（已整改）  2020-09-15 17:20:51
 已整改
苗凯-四川太极大药房  复检（通过）  2020-09-16 09:20:45
</t>
  </si>
  <si>
    <t>ID00120770</t>
  </si>
  <si>
    <t>2020-09-15 17:21:02</t>
  </si>
  <si>
    <t>2020-09-16 09:20:40</t>
  </si>
  <si>
    <t xml:space="preserve"> 苗凯-四川太极大药房  发现问题  2020-09-12 11:13:44
朱玉梅-四川太极大药房  整改（已整改）  2020-09-15 17:21:02
 已整改
苗凯-四川太极大药房  复检（通过）  2020-09-16 09:20:40
</t>
  </si>
  <si>
    <t>ID00120472</t>
  </si>
  <si>
    <t>（1）四川太极金牛区银河北路店102934</t>
  </si>
  <si>
    <t>2020-09-12 15:17:44</t>
  </si>
  <si>
    <t>2020-09-16 08:57:44</t>
  </si>
  <si>
    <t>周思-四川太极大药房</t>
  </si>
  <si>
    <t>王四维-四川太极大药房</t>
  </si>
  <si>
    <t>9月8日晚上，9号上午未记录</t>
  </si>
  <si>
    <t xml:space="preserve"> 王四维-四川太极大药房  发现问题  2020-09-09 16:07:50
周思-四川太极大药房  整改（已整改）  2020-09-12 15:17:44
 已整改
王四维-四川太极大药房  复检（通过）  2020-09-16 08:57:44
</t>
  </si>
  <si>
    <t>王四维</t>
  </si>
  <si>
    <t>ID00120467</t>
  </si>
  <si>
    <t>2020-09-12 15:18:12</t>
  </si>
  <si>
    <t>2020-09-16 08:57:37</t>
  </si>
  <si>
    <t>检查货架商品价签</t>
  </si>
  <si>
    <t xml:space="preserve"> 王四维-四川太极大药房  发现问题  2020-09-09 16:07:50
周思-四川太极大药房  整改（已整改）  2020-09-12 15:18:12
 已整改
王四维-四川太极大药房  复检（通过）  2020-09-16 08:57:37
</t>
  </si>
  <si>
    <t>ID00120468</t>
  </si>
  <si>
    <t>2020-09-13 08:49:59</t>
  </si>
  <si>
    <t>2020-09-16 08:57:27</t>
  </si>
  <si>
    <t>破损的取下</t>
  </si>
  <si>
    <t xml:space="preserve"> 王四维-四川太极大药房  发现问题  2020-09-09 16:07:50
周思-四川太极大药房  整改（已整改）  2020-09-13 08:49:59
 已整改
王四维-四川太极大药房  复检（通过）  2020-09-16 08:57:27
</t>
  </si>
  <si>
    <t>周思</t>
  </si>
  <si>
    <t>ID00120469</t>
  </si>
  <si>
    <t>店招、店门、橱窗明净通透，无明显污渍、张贴残留物</t>
  </si>
  <si>
    <t>2020-09-13 08:50:25</t>
  </si>
  <si>
    <t>2020-09-16 08:50:56</t>
  </si>
  <si>
    <t>门帘胶印严重</t>
  </si>
  <si>
    <t xml:space="preserve"> 王四维-四川太极大药房  发现问题  2020-09-09 16:07:50
周思-四川太极大药房  整改（已整改）  2020-09-13 08:50:25
 已整改
王四维-四川太极大药房  复检（通过）  2020-09-16 08:50:56
</t>
  </si>
  <si>
    <t>ID00120470</t>
  </si>
  <si>
    <t>2020-09-13 08:57:29</t>
  </si>
  <si>
    <t>2020-09-16 08:50:48</t>
  </si>
  <si>
    <t>进门区域货架注意清洁卫生</t>
  </si>
  <si>
    <t xml:space="preserve"> 王四维-四川太极大药房  发现问题  2020-09-09 16:07:50
周思-四川太极大药房  整改（已整改）  2020-09-13 08:57:29
 已整改
王四维-四川太极大药房  复检（通过）  2020-09-16 08:50:48
</t>
  </si>
  <si>
    <t>ID00120471</t>
  </si>
  <si>
    <t>2020-09-13 09:19:44</t>
  </si>
  <si>
    <t>2020-09-16 08:50:38</t>
  </si>
  <si>
    <t>注意线路</t>
  </si>
  <si>
    <t xml:space="preserve"> 王四维-四川太极大药房  发现问题  2020-09-09 16:07:50
周思-四川太极大药房  整改（已整改）  2020-09-13 09:19:44
 已整改
王四维-四川太极大药房  复检（通过）  2020-09-16 08:50:38
</t>
  </si>
  <si>
    <t>ID00120582</t>
  </si>
  <si>
    <t>2020-09-14 16:51:51</t>
  </si>
  <si>
    <t>2020-09-15 15:07:30</t>
  </si>
  <si>
    <t>黄艳-四川太极大药房</t>
  </si>
  <si>
    <t xml:space="preserve"> 段文秀-四川太极大药房  发现问题  2020-09-10 15:13:14
毛静静-四川太极大药房  转发  黄艳-四川太极大药房  2020-09-11 20:36:33
黄艳-四川太极大药房  整改（已整改）  2020-09-14 16:51:51
段文秀-四川太极大药房  复检（通过）  2020-09-15 15:07:30
</t>
  </si>
  <si>
    <t>黄艳</t>
  </si>
  <si>
    <t>ID00120580</t>
  </si>
  <si>
    <t>2020-09-14 16:52:00</t>
  </si>
  <si>
    <t>2020-09-15 15:07:26</t>
  </si>
  <si>
    <t xml:space="preserve"> 段文秀-四川太极大药房  发现问题  2020-09-10 15:12:57
毛静静-四川太极大药房  转发  黄艳-四川太极大药房  2020-09-11 20:36:24
黄艳-四川太极大药房  整改（已整改）  2020-09-14 16:52:00
段文秀-四川太极大药房  复检（通过）  2020-09-15 15:07:26
</t>
  </si>
  <si>
    <t>ID00120583</t>
  </si>
  <si>
    <t>2020-09-14 16:52:27</t>
  </si>
  <si>
    <t>2020-09-15 15:07:23</t>
  </si>
  <si>
    <t xml:space="preserve"> 段文秀-四川太极大药房  发现问题  2020-09-10 15:13:19
毛静静-四川太极大药房  转发  黄艳-四川太极大药房  2020-09-11 20:35:46
黄艳-四川太极大药房  整改（已整改）  2020-09-14 16:52:27
段文秀-四川太极大药房  复检（通过）  2020-09-15 15:07:23
</t>
  </si>
  <si>
    <t>ID00120728</t>
  </si>
  <si>
    <t>2020-09-14 11:42:52</t>
  </si>
  <si>
    <t>2020-09-15 14:50:21</t>
  </si>
  <si>
    <t xml:space="preserve"> 段文秀-四川太极大药房  发现问题  2020-09-11 14:51:54
胡新-四川太极大药房  整改（已整改）  2020-09-14 11:42:52
段文秀-四川太极大药房  复检（通过）  2020-09-15 14:50:21
</t>
  </si>
  <si>
    <t>ID00120730</t>
  </si>
  <si>
    <t>垃圾篓无溢出，周围地面无垃圾</t>
  </si>
  <si>
    <t>2020-09-14 11:52:12</t>
  </si>
  <si>
    <t>2020-09-15 14:50:11</t>
  </si>
  <si>
    <t xml:space="preserve"> 段文秀-四川太极大药房  发现问题  2020-09-11 14:51:54
胡新-四川太极大药房  整改（已整改）  2020-09-14 11:52:12
段文秀-四川太极大药房  复检（通过）  2020-09-15 14:50:11
</t>
  </si>
  <si>
    <t>ID00120729</t>
  </si>
  <si>
    <t>2020-09-14 14:48:31</t>
  </si>
  <si>
    <t>2020-09-15 14:49:57</t>
  </si>
  <si>
    <t xml:space="preserve"> 段文秀-四川太极大药房  发现问题  2020-09-11 14:51:54
胡新-四川太极大药房  整改（已整改）  2020-09-14 14:48:31
 已整改
段文秀-四川太极大药房  复检（通过）  2020-09-15 14:49:57
</t>
  </si>
  <si>
    <t>ID00120581</t>
  </si>
  <si>
    <t>2020-09-14 16:52:09</t>
  </si>
  <si>
    <t>2020-09-15 14:49:38</t>
  </si>
  <si>
    <t xml:space="preserve"> 段文秀-四川太极大药房  发现问题  2020-09-10 15:13:07
毛静静-四川太极大药房  转发  黄艳-四川太极大药房  2020-09-11 20:36:16
黄艳-四川太极大药房  整改（已整改）  2020-09-14 16:52:09
段文秀-四川太极大药房  复检（通过）  2020-09-15 14:49:38
</t>
  </si>
  <si>
    <t>ID00120287</t>
  </si>
  <si>
    <t>2020-09-14 16:52:18</t>
  </si>
  <si>
    <t>2020-09-15 14:49:24</t>
  </si>
  <si>
    <t xml:space="preserve"> 段文秀-四川太极大药房  发现问题  2020-09-06 08:42:25
毛静静-四川太极大药房  转发  黄艳-四川太极大药房  2020-09-11 20:36:09
黄艳-四川太极大药房  整改（已整改）  2020-09-14 16:52:18
段文秀-四川太极大药房  复检（通过）  2020-09-15 14:49:24
</t>
  </si>
  <si>
    <t>ID00120584</t>
  </si>
  <si>
    <t>2020-09-14 16:52:37</t>
  </si>
  <si>
    <t>2020-09-15 14:48:11</t>
  </si>
  <si>
    <t xml:space="preserve"> 段文秀-四川太极大药房  发现问题  2020-09-10 15:13:26
毛静静-四川太极大药房  转发  黄艳-四川太极大药房  2020-09-11 20:35:33
黄艳-四川太极大药房  整改（已整改）  2020-09-14 16:52:37
段文秀-四川太极大药房  复检（通过）  2020-09-15 14:48:11
</t>
  </si>
  <si>
    <t>ID00120286</t>
  </si>
  <si>
    <t>2020-09-14 16:53:10</t>
  </si>
  <si>
    <t>2020-09-15 14:46:03</t>
  </si>
  <si>
    <t xml:space="preserve"> 段文秀-四川太极大药房  发现问题  2020-09-06 08:42:24
毛静静-四川太极大药房  转发  黄艳-四川太极大药房  2020-09-11 20:35:12
黄艳-四川太极大药房  整改（已整改）  2020-09-14 16:53:10
段文秀-四川太极大药房  复检（通过）  2020-09-15 14:46:03
</t>
  </si>
  <si>
    <t>ID00120684</t>
  </si>
  <si>
    <t>2020-09-15 10:53:20</t>
  </si>
  <si>
    <t>2020-09-15 11:32:15</t>
  </si>
  <si>
    <t xml:space="preserve"> 何巍-四川太极大药房  发现问题  2020-09-11 14:35:12
杨苗-四川太极大药房  整改（已整改）  2020-09-15 10:53:20
 已整改
何巍-四川太极大药房  复检（通过）  2020-09-15 11:32:15
</t>
  </si>
  <si>
    <t>ID00120685</t>
  </si>
  <si>
    <t>2020-09-15 10:52:07</t>
  </si>
  <si>
    <t>2020-09-15 11:32:10</t>
  </si>
  <si>
    <t xml:space="preserve"> 何巍-四川太极大药房  发现问题  2020-09-11 14:35:25
杨苗-四川太极大药房  整改（已整改）  2020-09-15 10:52:07
 已整改
何巍-四川太极大药房  复检（通过）  2020-09-15 11:32:10
</t>
  </si>
  <si>
    <t>ID00120484</t>
  </si>
  <si>
    <t>2020-09-14 08:58:52</t>
  </si>
  <si>
    <t>2020-09-14 22:39:24</t>
  </si>
  <si>
    <t>杨素芬-四川太极大药房</t>
  </si>
  <si>
    <t xml:space="preserve"> 刘琴英-四川太极大药房  发现问题  2020-09-09 18:01:46
杨素芬-四川太极大药房  整改（已整改）  2020-09-14 08:58:52
刘琴英-四川太极大药房  复检（通过）  2020-09-14 22:39:24
</t>
  </si>
  <si>
    <t>杨素芬</t>
  </si>
  <si>
    <t>ID00120485</t>
  </si>
  <si>
    <t>长短款是否每天登记、账实相符</t>
  </si>
  <si>
    <t>2020-09-14 09:02:48</t>
  </si>
  <si>
    <t>2020-09-14 22:39:21</t>
  </si>
  <si>
    <t>记录不全</t>
  </si>
  <si>
    <t xml:space="preserve"> 刘琴英-四川太极大药房  发现问题  2020-09-09 18:01:46
杨素芬-四川太极大药房  整改（已整改）  2020-09-14 09:02:48
刘琴英-四川太极大药房  复检（通过）  2020-09-14 22:39:21
</t>
  </si>
  <si>
    <t>ID00120486</t>
  </si>
  <si>
    <t>2020-09-14 09:04:14</t>
  </si>
  <si>
    <t>2020-09-14 22:39:18</t>
  </si>
  <si>
    <t>没有建档</t>
  </si>
  <si>
    <t xml:space="preserve"> 刘琴英-四川太极大药房  发现问题  2020-09-09 18:01:46
杨素芬-四川太极大药房  整改（已整改）  2020-09-14 09:04:14
刘琴英-四川太极大药房  复检（通过）  2020-09-14 22:39:18
</t>
  </si>
  <si>
    <t>ID00120497</t>
  </si>
  <si>
    <t>2020-09-13 07:57:37</t>
  </si>
  <si>
    <t>2020-09-13 21:23:01</t>
  </si>
  <si>
    <t>董华-四川太极大药房</t>
  </si>
  <si>
    <t xml:space="preserve"> 何巍-四川太极大药房  发现问题  2020-09-09 23:09:08
董华-四川太极大药房  整改（已整改）  2020-09-13 07:57:37
何巍-四川太极大药房  复检（通过）  2020-09-13 21:23:01
</t>
  </si>
  <si>
    <t>董华</t>
  </si>
  <si>
    <t>ID00120498</t>
  </si>
  <si>
    <t>2020-09-13 07:56:47</t>
  </si>
  <si>
    <t>2020-09-13 21:22:57</t>
  </si>
  <si>
    <t xml:space="preserve"> 何巍-四川太极大药房  发现问题  2020-09-09 23:09:28
董华-四川太极大药房  整改（已整改）  2020-09-13 07:56:47
何巍-四川太极大药房  复检（通过）  2020-09-13 21:22:57
</t>
  </si>
  <si>
    <t>ID00120495</t>
  </si>
  <si>
    <t>2020-09-13 08:01:14</t>
  </si>
  <si>
    <t>2020-09-13 21:22:52</t>
  </si>
  <si>
    <t>处方柜及时关闭</t>
  </si>
  <si>
    <t xml:space="preserve"> 何巍-四川太极大药房  发现问题  2020-09-09 23:08:37
董华-四川太极大药房  整改（已整改）  2020-09-13 08:01:14
何巍-四川太极大药房  复检（通过）  2020-09-13 21:22:52
</t>
  </si>
  <si>
    <t>ID00120496</t>
  </si>
  <si>
    <t>2020-09-13 07:59:03</t>
  </si>
  <si>
    <t>2020-09-13 21:22:46</t>
  </si>
  <si>
    <t xml:space="preserve"> 何巍-四川太极大药房  发现问题  2020-09-09 23:08:48
董华-四川太极大药房  整改（已整改）  2020-09-13 07:59:03
何巍-四川太极大药房  复检（通过）  2020-09-13 21:22:46
</t>
  </si>
  <si>
    <t>ID00120281</t>
  </si>
  <si>
    <t>2020-09-10 10:40:11</t>
  </si>
  <si>
    <t>2020-09-10 15:34:10</t>
  </si>
  <si>
    <t xml:space="preserve"> 段文秀-四川太极大药房  发现问题  2020-09-06 08:42:08
易永红-四川太极大药  整改（已整改）  2020-09-10 10:40:11
段文秀-四川太极大药房  复检（不通过）  2020-09-10 15:34:10
 药品摆放整齐！
易永红-四川太极大药  整改（已整改）  2020-09-12 12:13:21
 已整改
段文秀-四川太极大药房  复检（通过）  2020-09-12 15:59:53
</t>
  </si>
  <si>
    <t>ID00120181</t>
  </si>
  <si>
    <t>2020-09-05</t>
  </si>
  <si>
    <t>2020-09-08</t>
  </si>
  <si>
    <t>2020-09-11 16:00:48</t>
  </si>
  <si>
    <t>2020-09-12 08:49:47</t>
  </si>
  <si>
    <t>冯丽娟</t>
  </si>
  <si>
    <t xml:space="preserve"> 张艳  发现问题  2020-09-05 10:33:00
冯丽娟  整改（已整改）  2020-09-11 16:00:48
 已整改
张艳  复检（通过）  2020-09-12 08:49:47
</t>
  </si>
  <si>
    <t>ID00120317</t>
  </si>
  <si>
    <t>2020-09-10 15:45:45</t>
  </si>
  <si>
    <t>2020-09-11 23:02:00</t>
  </si>
  <si>
    <t>曾蕾蕾-四川太极大药房</t>
  </si>
  <si>
    <t xml:space="preserve"> 刘琴英-四川太极大药房  发现问题  2020-09-07 10:55:54
曾蕾蕾-四川太极大药房  整改（已整改）  2020-09-10 15:45:45
 已整改
刘琴英-四川太极大药房  复检（通过）  2020-09-11 23:02:00
</t>
  </si>
  <si>
    <t>ID00120135</t>
  </si>
  <si>
    <t>2020-09-03</t>
  </si>
  <si>
    <t>2020-09-11 16:01:12</t>
  </si>
  <si>
    <t>2020-09-11 22:20:18</t>
  </si>
  <si>
    <t>及时关闭处方柜门</t>
  </si>
  <si>
    <t xml:space="preserve"> 何巍-四川太极大药房  发现问题  2020-09-03 23:09:06
冯丽娟  整改（已整改）  2020-09-11 16:01:12
 已整改
何巍-四川太极大药房  复检（通过）  2020-09-11 22:20:18
</t>
  </si>
  <si>
    <t>ID00120044</t>
  </si>
  <si>
    <t>2020-09-11 20:39:24</t>
  </si>
  <si>
    <t>2020-09-11 21:09:33</t>
  </si>
  <si>
    <t>李桂芳-四川太极大药房</t>
  </si>
  <si>
    <t xml:space="preserve"> 段文秀-四川太极大药房  发现问题  2020-09-01 17:20:39
毛静静-四川太极大药房  转发  李桂芳-四川太极大药房  2020-09-04 16:30:09
李桂芳-四川太极大药房  整改（已整改）  2020-09-11 20:39:24
段文秀-四川太极大药房  复检（通过）  2020-09-11 21:09:33
</t>
  </si>
  <si>
    <t>李桂芳</t>
  </si>
  <si>
    <t>ID00120347</t>
  </si>
  <si>
    <t>货品货位空缺</t>
  </si>
  <si>
    <t>2020-09-10 13:18:15</t>
  </si>
  <si>
    <t>2020-09-11 19:15:00</t>
  </si>
  <si>
    <t xml:space="preserve"> 业务部—四川太极大药房  发现问题  2020-09-07 16:24:38
胡新-四川太极大药房  整改（已整改）  2020-09-10 13:18:15
业务部—四川太极大药房  复检（通过）  2020-09-11 19:15:00
</t>
  </si>
  <si>
    <t>业务部</t>
  </si>
  <si>
    <t>ID00120137</t>
  </si>
  <si>
    <t>2020-09-10 14:55:27</t>
  </si>
  <si>
    <t>2020-09-11 19:14:51</t>
  </si>
  <si>
    <t xml:space="preserve"> 业务部—四川太极大药房  发现问题  2020-09-04 07:42:28
王芳-四川太极大药房  整改（已整改）  2020-09-10 14:55:27
业务部—四川太极大药房  复检（通过）  2020-09-11 19:14:51
</t>
  </si>
  <si>
    <t>ID00120346</t>
  </si>
  <si>
    <t>缺货响应（采购部专用）</t>
  </si>
  <si>
    <t>缺货价签与缺货标识--对应</t>
  </si>
  <si>
    <t>2020-09-10 13:17:51</t>
  </si>
  <si>
    <t>2020-09-11 19:14:43</t>
  </si>
  <si>
    <t xml:space="preserve"> 业务部—四川太极大药房  发现问题  2020-09-07 16:24:38
胡新-四川太极大药房  整改（已整改）  2020-09-10 13:17:51
业务部—四川太极大药房  复检（通过）  2020-09-11 19:14:43
</t>
  </si>
  <si>
    <t>ID00120302</t>
  </si>
  <si>
    <t>2020-09-10 16:41:03</t>
  </si>
  <si>
    <t>2020-09-10 17:08:40</t>
  </si>
  <si>
    <t>晏玲-四川太极大药房</t>
  </si>
  <si>
    <t>特价插卡全部标识</t>
  </si>
  <si>
    <t xml:space="preserve"> 段文秀-四川太极大药房  发现问题  2020-09-06 12:11:01
晏玲-四川太极大药房  整改（已整改）  2020-09-10 16:41:03
 已整改，请求复检
段文秀-四川太极大药房  复检（通过）  2020-09-10 17:08:40
</t>
  </si>
  <si>
    <t>晏玲</t>
  </si>
  <si>
    <t>ID00120283</t>
  </si>
  <si>
    <t>2020-09-10 10:39:16</t>
  </si>
  <si>
    <t>2020-09-10 15:36:54</t>
  </si>
  <si>
    <t xml:space="preserve"> 段文秀-四川太极大药房  发现问题  2020-09-06 08:42:10
易永红-四川太极大药  整改（已整改）  2020-09-10 10:39:16
段文秀-四川太极大药房  复检（通过）  2020-09-10 15:36:54
</t>
  </si>
  <si>
    <t>ID00120282</t>
  </si>
  <si>
    <t>2020-09-10 10:39:41</t>
  </si>
  <si>
    <t>2020-09-10 15:36:26</t>
  </si>
  <si>
    <t xml:space="preserve"> 段文秀-四川太极大药房  发现问题  2020-09-06 08:42:09
易永红-四川太极大药  整改（已整改）  2020-09-10 10:39:41
段文秀-四川太极大药房  复检（通过）  2020-09-10 15:36:26
</t>
  </si>
  <si>
    <t>ID00120280</t>
  </si>
  <si>
    <t>2020-09-10 10:40:36</t>
  </si>
  <si>
    <t>2020-09-10 15:33:44</t>
  </si>
  <si>
    <t xml:space="preserve"> 段文秀-四川太极大药房  发现问题  2020-09-06 08:42:07
易永红-四川太极大药  整改（已整改）  2020-09-10 10:40:36
段文秀-四川太极大药房  复检（通过）  2020-09-10 15:33:44
</t>
  </si>
  <si>
    <t>ID00120291</t>
  </si>
  <si>
    <t>2020-09-10 15:23:50</t>
  </si>
  <si>
    <t>2020-09-10 15:33:33</t>
  </si>
  <si>
    <t xml:space="preserve"> 段文秀-四川太极大药房  发现问题  2020-09-06 08:42:43
罗婷-四川太极大药房  整改（已整改）  2020-09-10 15:23:50
段文秀-四川太极大药房  复检（通过）  2020-09-10 15:33:33
</t>
  </si>
  <si>
    <t>ID00120279</t>
  </si>
  <si>
    <t>2020-09-10 10:40:57</t>
  </si>
  <si>
    <t>2020-09-10 15:33:15</t>
  </si>
  <si>
    <t xml:space="preserve"> 段文秀-四川太极大药房  发现问题  2020-09-06 08:42:06
易永红-四川太极大药  整改（已整改）  2020-09-10 10:40:57
段文秀-四川太极大药房  复检（通过）  2020-09-10 15:33:15
</t>
  </si>
  <si>
    <t>ID00120156</t>
  </si>
  <si>
    <t>2020-09-10 14:48:27</t>
  </si>
  <si>
    <t>2020-09-10 15:30:34</t>
  </si>
  <si>
    <t xml:space="preserve"> 段文秀-四川太极大药房  发现问题  2020-09-04 14:28:27
王芳-四川太极大药房  整改（已整改）  2020-09-10 14:48:27
段文秀-四川太极大药房  复检（通过）  2020-09-10 15:30:34
</t>
  </si>
  <si>
    <t>ID00120153</t>
  </si>
  <si>
    <t>2020-09-10 14:54:34</t>
  </si>
  <si>
    <t>2020-09-10 15:29:51</t>
  </si>
  <si>
    <t xml:space="preserve"> 段文秀-四川太极大药房  发现问题  2020-09-04 14:26:04
王芳-四川太极大药房  整改（已整改）  2020-09-10 14:54:34
段文秀-四川太极大药房  复检（通过）  2020-09-10 15:29:51
</t>
  </si>
  <si>
    <t>ID00120290</t>
  </si>
  <si>
    <t>2020-09-10 15:24:05</t>
  </si>
  <si>
    <t>2020-09-10 15:28:26</t>
  </si>
  <si>
    <t xml:space="preserve"> 段文秀-四川太极大药房  发现问题  2020-09-06 08:42:42
罗婷-四川太极大药房  整改（已整改）  2020-09-10 15:24:05
 已整改
段文秀-四川太极大药房  复检（通过）  2020-09-10 15:28:26
</t>
  </si>
  <si>
    <t>ID00120175</t>
  </si>
  <si>
    <t>2020-09-09 17:26:23</t>
  </si>
  <si>
    <t>2020-09-09 21:57:13</t>
  </si>
  <si>
    <t>林禹帅-四川太极大药房</t>
  </si>
  <si>
    <t>太多空位</t>
  </si>
  <si>
    <t xml:space="preserve"> 刘琴英-四川太极大药房  发现问题  2020-09-04 21:16:43
林禹帅-四川太极大药房  整改（已整改）  2020-09-09 17:26:23
刘琴英-四川太极大药房  复检（通过）  2020-09-09 21:57:13
</t>
  </si>
  <si>
    <t>林禹帅</t>
  </si>
  <si>
    <t>ID00120101</t>
  </si>
  <si>
    <t>2020-09-06 20:44:33</t>
  </si>
  <si>
    <t>2020-09-09 16:40:50</t>
  </si>
  <si>
    <t>休息室垃圾</t>
  </si>
  <si>
    <t xml:space="preserve"> 段文秀-四川太极大药房  发现问题  2020-09-03 11:36:02
蒋雪琴-四川太极大药房  整改（已整改）  2020-09-06 20:44:33
 已整改
段文秀-四川太极大药房  复检（通过）  2020-09-09 16:40:50
</t>
  </si>
  <si>
    <t>ID00120053</t>
  </si>
  <si>
    <t>2020-09-08 14:32:21</t>
  </si>
  <si>
    <t>2020-09-09 16:39:07</t>
  </si>
  <si>
    <t xml:space="preserve"> 段文秀-四川太极大药房  发现问题  2020-09-01 18:35:46
鲁雪-四川太极大药房  整改（已整改）  2020-09-08 14:32:21
段文秀-四川太极大药房  复检（通过）  2020-09-09 16:39:07
</t>
  </si>
  <si>
    <t>ID00120052</t>
  </si>
  <si>
    <t>一物一签（通用）</t>
  </si>
  <si>
    <t>中药柜：正名正字</t>
  </si>
  <si>
    <t>2020-09-08 14:37:42</t>
  </si>
  <si>
    <t>2020-09-09 16:39:02</t>
  </si>
  <si>
    <t xml:space="preserve"> 段文秀-四川太极大药房  发现问题  2020-09-01 18:35:08
鲁雪-四川太极大药房  整改（已整改）  2020-09-08 14:37:42
段文秀-四川太极大药房  复检（通过）  2020-09-09 16:39:02
</t>
  </si>
  <si>
    <t>ID00120082</t>
  </si>
  <si>
    <t>药品价签用商品价签标示</t>
  </si>
  <si>
    <t>2020-09-02</t>
  </si>
  <si>
    <t>2020-09-08 21:12:04</t>
  </si>
  <si>
    <t>2020-09-09 14:20:59</t>
  </si>
  <si>
    <t>郭祥-四川太极大药房</t>
  </si>
  <si>
    <t xml:space="preserve"> 郭祥-四川太极大药房  发现问题  2020-09-02 15:19:13
高红华-四川太极大药房  整改（已整改）  2020-09-08 21:12:04
 已整改
郭祥-四川太极大药房  复检（通过）  2020-09-09 14:20:59
</t>
  </si>
  <si>
    <t>高红华</t>
  </si>
  <si>
    <t>ID00120203</t>
  </si>
  <si>
    <t>2020-09-08 11:06:34</t>
  </si>
  <si>
    <t>2020-09-09 10:37:28</t>
  </si>
  <si>
    <t xml:space="preserve"> 苗凯-四川太极大药房  发现问题  2020-09-05 13:13:40
王慧-四川太极大药房  整改（已整改）  2020-09-08 11:06:34
苗凯-四川太极大药房  复检（通过）  2020-09-09 10:37:28
</t>
  </si>
  <si>
    <t>ID00120202</t>
  </si>
  <si>
    <t>2020-09-08 11:07:24</t>
  </si>
  <si>
    <t>2020-09-09 10:37:24</t>
  </si>
  <si>
    <t xml:space="preserve"> 苗凯-四川太极大药房  发现问题  2020-09-05 13:13:40
王慧-四川太极大药房  整改（已整改）  2020-09-08 11:07:24
苗凯-四川太极大药房  复检（通过）  2020-09-09 10:37:24
</t>
  </si>
  <si>
    <t>ID00120201</t>
  </si>
  <si>
    <t>2020-09-08 11:08:13</t>
  </si>
  <si>
    <t>2020-09-09 10:37:19</t>
  </si>
  <si>
    <t xml:space="preserve"> 苗凯-四川太极大药房  发现问题  2020-09-05 13:13:40
王慧-四川太极大药房  整改（已整改）  2020-09-08 11:08:13
苗凯-四川太极大药房  复检（通过）  2020-09-09 10:37:19
</t>
  </si>
  <si>
    <t>ID00120200</t>
  </si>
  <si>
    <t>2020-09-08 11:08:50</t>
  </si>
  <si>
    <t>2020-09-09 10:37:14</t>
  </si>
  <si>
    <t xml:space="preserve"> 苗凯-四川太极大药房  发现问题  2020-09-05 13:13:39
王慧-四川太极大药房  整改（已整改）  2020-09-08 11:08:50
苗凯-四川太极大药房  复检（通过）  2020-09-09 10:37:14
</t>
  </si>
  <si>
    <t>ID00120199</t>
  </si>
  <si>
    <t>2020-09-08 11:09:14</t>
  </si>
  <si>
    <t>2020-09-09 10:37:09</t>
  </si>
  <si>
    <t xml:space="preserve"> 苗凯-四川太极大药房  发现问题  2020-09-05 13:13:38
王慧-四川太极大药房  整改（已整改）  2020-09-08 11:09:14
苗凯-四川太极大药房  复检（通过）  2020-09-09 10:37:09
</t>
  </si>
  <si>
    <t>ID00120198</t>
  </si>
  <si>
    <t>2020-09-08 11:09:38</t>
  </si>
  <si>
    <t>2020-09-09 10:37:04</t>
  </si>
  <si>
    <t xml:space="preserve"> 苗凯-四川太极大药房  发现问题  2020-09-05 13:13:37
王慧-四川太极大药房  整改（已整改）  2020-09-08 11:09:38
苗凯-四川太极大药房  复检（通过）  2020-09-09 10:37:04
</t>
  </si>
  <si>
    <t>ID00120192</t>
  </si>
  <si>
    <t>2020-09-08 11:34:28</t>
  </si>
  <si>
    <t>2020-09-09 10:36:58</t>
  </si>
  <si>
    <t>彭勤—四川太极大药房</t>
  </si>
  <si>
    <t xml:space="preserve"> 苗凯-四川太极大药房  发现问题  2020-09-05 13:13:12
彭勤—四川太极大药房  整改（已整改）  2020-09-08 11:34:28
苗凯-四川太极大药房  复检（通过）  2020-09-09 10:36:58
</t>
  </si>
  <si>
    <t>ID00120193</t>
  </si>
  <si>
    <t>2020-09-08 11:35:04</t>
  </si>
  <si>
    <t>2020-09-09 10:36:54</t>
  </si>
  <si>
    <t xml:space="preserve"> 苗凯-四川太极大药房  发现问题  2020-09-05 13:13:13
彭勤—四川太极大药房  整改（已整改）  2020-09-08 11:35:04
苗凯-四川太极大药房  复检（通过）  2020-09-09 10:36:54
</t>
  </si>
  <si>
    <t>ID00120197</t>
  </si>
  <si>
    <t>2020-09-08 11:35:28</t>
  </si>
  <si>
    <t>2020-09-09 10:36:50</t>
  </si>
  <si>
    <t xml:space="preserve"> 苗凯-四川太极大药房  发现问题  2020-09-05 13:13:20
彭勤—四川太极大药房  整改（已整改）  2020-09-08 11:35:28
苗凯-四川太极大药房  复检（通过）  2020-09-09 10:36:50
</t>
  </si>
  <si>
    <t>ID00120196</t>
  </si>
  <si>
    <t>2020-09-08 11:35:33</t>
  </si>
  <si>
    <t>2020-09-09 10:36:46</t>
  </si>
  <si>
    <t xml:space="preserve"> 苗凯-四川太极大药房  发现问题  2020-09-05 13:13:19
彭勤—四川太极大药房  整改（已整改）  2020-09-08 11:35:33
苗凯-四川太极大药房  复检（通过）  2020-09-09 10:36:46
</t>
  </si>
  <si>
    <t>ID00120194</t>
  </si>
  <si>
    <t>2020-09-08 11:35:43</t>
  </si>
  <si>
    <t>2020-09-09 10:36:40</t>
  </si>
  <si>
    <t xml:space="preserve"> 苗凯-四川太极大药房  发现问题  2020-09-05 13:13:17
彭勤—四川太极大药房  整改（已整改）  2020-09-08 11:35:43
苗凯-四川太极大药房  复检（通过）  2020-09-09 10:36:40
</t>
  </si>
  <si>
    <t>ID00120195</t>
  </si>
  <si>
    <t>2020-09-08 11:35:51</t>
  </si>
  <si>
    <t>2020-09-09 10:36:35</t>
  </si>
  <si>
    <t xml:space="preserve"> 苗凯-四川太极大药房  发现问题  2020-09-05 13:13:18
彭勤—四川太极大药房  整改（已整改）  2020-09-08 11:35:51
苗凯-四川太极大药房  复检（通过）  2020-09-09 10:36:35
</t>
  </si>
  <si>
    <t>ID00120233</t>
  </si>
  <si>
    <t>2020-09-08 15:55:48</t>
  </si>
  <si>
    <t>2020-09-09 10:36:31</t>
  </si>
  <si>
    <t xml:space="preserve"> 苗凯-四川太极大药房  发现问题  2020-09-05 13:14:23
孙佳丽-四川太极大药房  整改（已整改）  2020-09-08 15:55:48
 已整改
苗凯-四川太极大药房  复检（通过）  2020-09-09 10:36:31
</t>
  </si>
  <si>
    <t>ID00120232</t>
  </si>
  <si>
    <t>2020-09-08 15:55:59</t>
  </si>
  <si>
    <t>2020-09-09 10:36:26</t>
  </si>
  <si>
    <t xml:space="preserve"> 苗凯-四川太极大药房  发现问题  2020-09-05 13:14:23
孙佳丽-四川太极大药房  整改（已整改）  2020-09-08 15:55:59
 已整改
苗凯-四川太极大药房  复检（通过）  2020-09-09 10:36:26
</t>
  </si>
  <si>
    <t>ID00120231</t>
  </si>
  <si>
    <t>2020-09-08 15:56:06</t>
  </si>
  <si>
    <t>2020-09-09 10:36:22</t>
  </si>
  <si>
    <t xml:space="preserve"> 苗凯-四川太极大药房  发现问题  2020-09-05 13:14:23
孙佳丽-四川太极大药房  整改（已整改）  2020-09-08 15:56:06
 已整改
苗凯-四川太极大药房  复检（通过）  2020-09-09 10:36:22
</t>
  </si>
  <si>
    <t>ID00120230</t>
  </si>
  <si>
    <t>2020-09-08 15:56:12</t>
  </si>
  <si>
    <t>2020-09-09 10:36:18</t>
  </si>
  <si>
    <t xml:space="preserve"> 苗凯-四川太极大药房  发现问题  2020-09-05 13:14:22
孙佳丽-四川太极大药房  整改（已整改）  2020-09-08 15:56:12
 已整改
苗凯-四川太极大药房  复检（通过）  2020-09-09 10:36:18
</t>
  </si>
  <si>
    <t>ID00120229</t>
  </si>
  <si>
    <t>2020-09-08 15:56:18</t>
  </si>
  <si>
    <t>2020-09-09 10:36:13</t>
  </si>
  <si>
    <t xml:space="preserve"> 苗凯-四川太极大药房  发现问题  2020-09-05 13:14:22
孙佳丽-四川太极大药房  整改（已整改）  2020-09-08 15:56:18
 已整改
苗凯-四川太极大药房  复检（通过）  2020-09-09 10:36:13
</t>
  </si>
  <si>
    <t>ID00120228</t>
  </si>
  <si>
    <t>2020-09-08 15:56:24</t>
  </si>
  <si>
    <t>2020-09-09 10:36:09</t>
  </si>
  <si>
    <t xml:space="preserve"> 苗凯-四川太极大药房  发现问题  2020-09-05 13:14:21
孙佳丽-四川太极大药房  整改（已整改）  2020-09-08 15:56:24
 已整改
苗凯-四川太极大药房  复检（通过）  2020-09-09 10:36:09
</t>
  </si>
  <si>
    <t>ID00120209</t>
  </si>
  <si>
    <t>2020-09-08 17:54:16</t>
  </si>
  <si>
    <t>2020-09-09 10:36:05</t>
  </si>
  <si>
    <t xml:space="preserve"> 苗凯-四川太极大药房  发现问题  2020-09-05 13:13:47
朱玉梅-四川太极大药房  整改（已整改）  2020-09-08 17:54:16
 已整改
苗凯-四川太极大药房  复检（通过）  2020-09-09 10:36:05
</t>
  </si>
  <si>
    <t>ID00120208</t>
  </si>
  <si>
    <t>2020-09-08 17:54:24</t>
  </si>
  <si>
    <t>2020-09-09 10:36:00</t>
  </si>
  <si>
    <t xml:space="preserve"> 苗凯-四川太极大药房  发现问题  2020-09-05 13:13:47
朱玉梅-四川太极大药房  整改（已整改）  2020-09-08 17:54:24
 已整改
苗凯-四川太极大药房  复检（通过）  2020-09-09 10:36:00
</t>
  </si>
  <si>
    <t>ID00120207</t>
  </si>
  <si>
    <t>2020-09-08 17:54:35</t>
  </si>
  <si>
    <t>2020-09-09 10:35:56</t>
  </si>
  <si>
    <t xml:space="preserve"> 苗凯-四川太极大药房  发现问题  2020-09-05 13:13:46
朱玉梅-四川太极大药房  整改（已整改）  2020-09-08 17:54:35
 已整改
苗凯-四川太极大药房  复检（通过）  2020-09-09 10:35:56
</t>
  </si>
  <si>
    <t>ID00120206</t>
  </si>
  <si>
    <t>2020-09-08 17:54:49</t>
  </si>
  <si>
    <t>2020-09-09 10:35:52</t>
  </si>
  <si>
    <t xml:space="preserve"> 苗凯-四川太极大药房  发现问题  2020-09-05 13:13:46
朱玉梅-四川太极大药房  整改（已整改）  2020-09-08 17:54:49
 已整改
苗凯-四川太极大药房  复检（通过）  2020-09-09 10:35:52
</t>
  </si>
  <si>
    <t>ID00120205</t>
  </si>
  <si>
    <t>2020-09-08 17:54:55</t>
  </si>
  <si>
    <t>2020-09-09 10:35:47</t>
  </si>
  <si>
    <t xml:space="preserve"> 苗凯-四川太极大药房  发现问题  2020-09-05 13:13:45
朱玉梅-四川太极大药房  整改（已整改）  2020-09-08 17:54:55
 已整改
苗凯-四川太极大药房  复检（通过）  2020-09-09 10:35:47
</t>
  </si>
  <si>
    <t>ID00120204</t>
  </si>
  <si>
    <t>2020-09-08 17:55:03</t>
  </si>
  <si>
    <t>2020-09-09 10:35:43</t>
  </si>
  <si>
    <t xml:space="preserve"> 苗凯-四川太极大药房  发现问题  2020-09-05 13:13:45
朱玉梅-四川太极大药房  整改（已整改）  2020-09-08 17:55:03
 已整改
苗凯-四川太极大药房  复检（通过）  2020-09-09 10:35:43
</t>
  </si>
  <si>
    <t>ID00120227</t>
  </si>
  <si>
    <t>2020-09-08 18:44:46</t>
  </si>
  <si>
    <t>2020-09-09 10:35:39</t>
  </si>
  <si>
    <t xml:space="preserve"> 苗凯-四川太极大药房  发现问题  2020-09-05 13:14:17
窦潘-四川太极大药房  整改（已整改）  2020-09-08 18:44:46
苗凯-四川太极大药房  复检（通过）  2020-09-09 10:35:39
</t>
  </si>
  <si>
    <t>ID00120226</t>
  </si>
  <si>
    <t>2020-09-08 18:44:53</t>
  </si>
  <si>
    <t>2020-09-09 10:35:34</t>
  </si>
  <si>
    <t xml:space="preserve"> 苗凯-四川太极大药房  发现问题  2020-09-05 13:14:17
窦潘-四川太极大药房  整改（已整改）  2020-09-08 18:44:53
苗凯-四川太极大药房  复检（通过）  2020-09-09 10:35:34
</t>
  </si>
  <si>
    <t>ID00120225</t>
  </si>
  <si>
    <t>2020-09-08 18:44:59</t>
  </si>
  <si>
    <t>2020-09-09 10:35:30</t>
  </si>
  <si>
    <t xml:space="preserve"> 苗凯-四川太极大药房  发现问题  2020-09-05 13:14:16
窦潘-四川太极大药房  整改（已整改）  2020-09-08 18:44:59
苗凯-四川太极大药房  复检（通过）  2020-09-09 10:35:30
</t>
  </si>
  <si>
    <t>ID00120224</t>
  </si>
  <si>
    <t>2020-09-08 18:45:06</t>
  </si>
  <si>
    <t>2020-09-09 10:35:26</t>
  </si>
  <si>
    <t xml:space="preserve"> 苗凯-四川太极大药房  发现问题  2020-09-05 13:14:16
窦潘-四川太极大药房  整改（已整改）  2020-09-08 18:45:06
苗凯-四川太极大药房  复检（通过）  2020-09-09 10:35:26
</t>
  </si>
  <si>
    <t>ID00120223</t>
  </si>
  <si>
    <t>2020-09-08 18:45:12</t>
  </si>
  <si>
    <t>2020-09-09 10:35:21</t>
  </si>
  <si>
    <t xml:space="preserve"> 苗凯-四川太极大药房  发现问题  2020-09-05 13:14:15
窦潘-四川太极大药房  整改（已整改）  2020-09-08 18:45:12
苗凯-四川太极大药房  复检（通过）  2020-09-09 10:35:21
</t>
  </si>
  <si>
    <t>ID00120222</t>
  </si>
  <si>
    <t>2020-09-08 18:45:18</t>
  </si>
  <si>
    <t>2020-09-09 10:35:17</t>
  </si>
  <si>
    <t xml:space="preserve"> 苗凯-四川太极大药房  发现问题  2020-09-05 13:14:15
窦潘-四川太极大药房  整改（已整改）  2020-09-08 18:45:18
苗凯-四川太极大药房  复检（通过）  2020-09-09 10:35:17
</t>
  </si>
  <si>
    <t>ID00120169</t>
  </si>
  <si>
    <t>2020-09-07 21:42:39</t>
  </si>
  <si>
    <t>2020-09-09 10:17:57</t>
  </si>
  <si>
    <t>李梦菊-四川太极大药房</t>
  </si>
  <si>
    <t xml:space="preserve"> 刘琴英-四川太极大药房  发现问题  2020-09-04 15:01:19
李梦菊-四川太极大药房  整改（已整改）  2020-09-07 21:42:39
 已写
刘琴英-四川太极大药房  复检（通过）  2020-09-09 10:17:57
</t>
  </si>
  <si>
    <t>ID00120167</t>
  </si>
  <si>
    <t>2020-09-07 21:42:54</t>
  </si>
  <si>
    <t>2020-09-09 10:17:51</t>
  </si>
  <si>
    <t>免费测血糖pop没有拆除</t>
  </si>
  <si>
    <t xml:space="preserve"> 刘琴英-四川太极大药房  发现问题  2020-09-04 15:01:19
李梦菊-四川太极大药房  整改（已整改）  2020-09-07 21:42:54
 已整改
刘琴英-四川太极大药房  复检（通过）  2020-09-09 10:17:51
</t>
  </si>
  <si>
    <t>ID00120168</t>
  </si>
  <si>
    <t>实地清点钱箱，查看是否账实相符，有无超过500元大钞</t>
  </si>
  <si>
    <t>2020-09-07 21:43:15</t>
  </si>
  <si>
    <t>2020-09-09 10:17:44</t>
  </si>
  <si>
    <t>有700元，超额</t>
  </si>
  <si>
    <t xml:space="preserve"> 刘琴英-四川太极大药房  发现问题  2020-09-04 15:01:19
李梦菊-四川太极大药房  整改（已整改）  2020-09-07 21:43:15
 已整改
刘琴英-四川太极大药房  复检（通过）  2020-09-09 10:17:44
</t>
  </si>
  <si>
    <t>ID00120142</t>
  </si>
  <si>
    <t>2020-09-04 14:46:04</t>
  </si>
  <si>
    <t>2020-09-09 08:14:51</t>
  </si>
  <si>
    <t xml:space="preserve"> 张艳  发现问题  2020-09-04 08:15:00
晏玲-四川太极大药房  整改（已整改）  2020-09-04 14:46:04
 已报备 卷帘门陈旧老化打不开。
张艳  复检（通过）  2020-09-09 08:14:51
</t>
  </si>
  <si>
    <t>ID00120180</t>
  </si>
  <si>
    <t>（1）四川太极杉板桥店511</t>
  </si>
  <si>
    <t>2020-09-07 11:53:04</t>
  </si>
  <si>
    <t>2020-09-09 08:14:47</t>
  </si>
  <si>
    <t>殷岱菊-四川太极大药房</t>
  </si>
  <si>
    <t xml:space="preserve"> 张艳  发现问题  2020-09-05 10:26:44
殷岱菊-四川太极大药房  整改（已整改）  2020-09-07 11:53:04
 已整改，下次注意
张艳  复检（通过）  2020-09-09 08:14:47
</t>
  </si>
  <si>
    <t>ID00120083</t>
  </si>
  <si>
    <t>货架陈列不丰满、凌乱、卫生差</t>
  </si>
  <si>
    <t>2020-09-06 16:27:08</t>
  </si>
  <si>
    <t>2020-09-06 22:32:28</t>
  </si>
  <si>
    <t xml:space="preserve"> 郭祥-四川太极大药房  发现问题  2020-09-02 15:19:13
高红华-四川太极大药房  整改（已整改）  2020-09-06 16:27:08
 已整改
郭祥-四川太极大药房  复检（通过）  2020-09-06 22:32:28
</t>
  </si>
  <si>
    <t>ID00120079</t>
  </si>
  <si>
    <t>门店商品价签缺失，价签错位、未与货品一一对应</t>
  </si>
  <si>
    <t>2020-09-06 17:02:45</t>
  </si>
  <si>
    <t>2020-09-06 22:32:20</t>
  </si>
  <si>
    <t xml:space="preserve"> 郭祥-四川太极大药房  发现问题  2020-09-02 15:19:13
高红华-四川太极大药房  整改（已整改）  2020-09-06 17:02:45
 已整改
郭祥-四川太极大药房  复检（通过）  2020-09-06 22:32:20
</t>
  </si>
  <si>
    <t>ID00120080</t>
  </si>
  <si>
    <t>未按照规定使用价签：有会员价的品种用-红色-价签打印，无会员价的品种用-黄色-价签打印</t>
  </si>
  <si>
    <t>2020-09-06 17:04:43</t>
  </si>
  <si>
    <t>2020-09-06 22:31:59</t>
  </si>
  <si>
    <t>无会员价用黄色价签</t>
  </si>
  <si>
    <t xml:space="preserve"> 郭祥-四川太极大药房  发现问题  2020-09-02 15:19:13
高红华-四川太极大药房  整改（已整改）  2020-09-06 17:04:43
 已整改
郭祥-四川太极大药房  复检（通过）  2020-09-06 22:31:59
</t>
  </si>
  <si>
    <t>ID00120081</t>
  </si>
  <si>
    <t>门店存在手工价签并涂改的现象</t>
  </si>
  <si>
    <t>2020-09-06 17:07:18</t>
  </si>
  <si>
    <t>2020-09-06 22:31:53</t>
  </si>
  <si>
    <t xml:space="preserve"> 郭祥-四川太极大药房  发现问题  2020-09-02 15:19:13
高红华-四川太极大药房  整改（已整改）  2020-09-06 17:07:18
 已整改
郭祥-四川太极大药房  复检（通过）  2020-09-06 22:31:53
</t>
  </si>
  <si>
    <t>ID00120064</t>
  </si>
  <si>
    <t>2020-09-05 13:17:18</t>
  </si>
  <si>
    <t>2020-09-06 00:12:29</t>
  </si>
  <si>
    <t xml:space="preserve"> 何巍-四川太极大药房  发现问题  2020-09-01 23:52:28
吕彩霞-四川太极大药房  整改（已整改）  2020-09-05 13:17:18
何巍-四川太极大药房  复检（通过）  2020-09-06 00:12:29
</t>
  </si>
  <si>
    <t>ID00120067</t>
  </si>
  <si>
    <t>2020-09-05 13:15:50</t>
  </si>
  <si>
    <t>2020-09-06 00:12:24</t>
  </si>
  <si>
    <t xml:space="preserve"> 何巍-四川太极大药房  发现问题  2020-09-01 23:53:12
吕彩霞-四川太极大药房  整改（已整改）  2020-09-05 13:15:50
何巍-四川太极大药房  复检（通过）  2020-09-06 00:12:24
</t>
  </si>
  <si>
    <t>ID00120066</t>
  </si>
  <si>
    <t>2020-09-05 13:16:19</t>
  </si>
  <si>
    <t>2020-09-06 00:12:19</t>
  </si>
  <si>
    <t xml:space="preserve"> 何巍-四川太极大药房  发现问题  2020-09-01 23:52:59
吕彩霞-四川太极大药房  整改（已整改）  2020-09-05 13:16:19
何巍-四川太极大药房  复检（通过）  2020-09-06 00:12:19
</t>
  </si>
  <si>
    <t>ID00120065</t>
  </si>
  <si>
    <t>2020-09-05 13:16:43</t>
  </si>
  <si>
    <t>2020-09-06 00:12:14</t>
  </si>
  <si>
    <t xml:space="preserve"> 何巍-四川太极大药房  发现问题  2020-09-01 23:52:45
吕彩霞-四川太极大药房  整改（已整改）  2020-09-05 13:16:43
何巍-四川太极大药房  复检（通过）  2020-09-06 00:12:14
</t>
  </si>
  <si>
    <t>ID00120051</t>
  </si>
  <si>
    <t>2020-09-04 15:15:56</t>
  </si>
  <si>
    <t>2020-09-05 23:13:25</t>
  </si>
  <si>
    <t xml:space="preserve"> 段文秀-四川太极大药房  发现问题  2020-09-01 18:33:23
袁咏梅-四川太极大药房  整改（已整改）  2020-09-04 15:15:56
 已整改
段文秀-四川太极大药房  复检（通过）  2020-09-05 23:13:25
</t>
  </si>
  <si>
    <t>ID00120035</t>
  </si>
  <si>
    <t>2020-09-04 17:24:13</t>
  </si>
  <si>
    <t>2020-09-05 23:13:10</t>
  </si>
  <si>
    <t>兰新喻-四川太极大药房</t>
  </si>
  <si>
    <t xml:space="preserve"> 段文秀-四川太极大药房  发现问题  2020-09-01 15:22:24
兰新喻-四川太极大药房  整改（已整改）  2020-09-04 17:24:13
 已整改
段文秀-四川太极大药房  复检（通过）  2020-09-05 23:13:10
</t>
  </si>
  <si>
    <t>ID00120043</t>
  </si>
  <si>
    <t>2020-09-05 16:01:21</t>
  </si>
  <si>
    <t>2020-09-05 23:12:54</t>
  </si>
  <si>
    <t xml:space="preserve"> 段文秀-四川太极大药房  发现问题  2020-09-01 17:20:39
毛静静-四川太极大药房  整改（已整改）  2020-09-05 16:01:21
段文秀-四川太极大药房  复检（通过）  2020-09-05 23:12:54
</t>
  </si>
  <si>
    <t>ID00120045</t>
  </si>
  <si>
    <t>免费服务（通用）</t>
  </si>
  <si>
    <t>免费量血压、测血糖（任意一项），有显著标识提醒</t>
  </si>
  <si>
    <t>2020-09-05 16:06:40</t>
  </si>
  <si>
    <t>2020-09-05 23:12:49</t>
  </si>
  <si>
    <t>写一张免费检测血压</t>
  </si>
  <si>
    <t xml:space="preserve"> 段文秀-四川太极大药房  发现问题  2020-09-01 17:20:39
毛静静-四川太极大药房  整改（已整改）  2020-09-05 16:06:40
段文秀-四川太极大药房  复检（通过）  2020-09-05 23:12:49
</t>
  </si>
  <si>
    <t>ID00120046</t>
  </si>
  <si>
    <t>门店错误档案是否按要求记录并存档</t>
  </si>
  <si>
    <t>2020-09-05 16:07:11</t>
  </si>
  <si>
    <t>2020-09-05 23:12:45</t>
  </si>
  <si>
    <t>错误档案无目录</t>
  </si>
  <si>
    <t xml:space="preserve"> 段文秀-四川太极大药房  发现问题  2020-09-01 17:20:39
毛静静-四川太极大药房  整改（已整改）  2020-09-05 16:07:11
段文秀-四川太极大药房  复检（通过）  2020-09-05 23:12:45
</t>
  </si>
  <si>
    <t>片区</t>
  </si>
  <si>
    <t>总门 店数</t>
  </si>
  <si>
    <t>检查   门店数</t>
  </si>
  <si>
    <t>未检查  门店数</t>
  </si>
  <si>
    <t>未发现问题门店数</t>
  </si>
  <si>
    <t>门店合格比例</t>
  </si>
  <si>
    <t>检查项   总执行次数</t>
  </si>
  <si>
    <t>合格  项数</t>
  </si>
  <si>
    <t>合格率</t>
  </si>
  <si>
    <t>不合格项数</t>
  </si>
  <si>
    <t>不合格率</t>
  </si>
  <si>
    <t>待整改项数</t>
  </si>
  <si>
    <t>待整改率</t>
  </si>
  <si>
    <t>待复检项数</t>
  </si>
  <si>
    <t>待复检率</t>
  </si>
  <si>
    <t>整改  完成数</t>
  </si>
  <si>
    <t>整改完成率</t>
  </si>
  <si>
    <t>旗舰店</t>
  </si>
  <si>
    <t>城中片区</t>
  </si>
  <si>
    <t>西北片区</t>
  </si>
  <si>
    <t>东南片区</t>
  </si>
  <si>
    <t>城郊二片</t>
  </si>
  <si>
    <t>新津片区</t>
  </si>
  <si>
    <t>邛崃片区</t>
  </si>
  <si>
    <t>大邑片区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</si>
</sst>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Arial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b/>
      <sz val="11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0" borderId="9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0" fillId="25" borderId="12" applyNumberFormat="0" applyAlignment="0" applyProtection="0">
      <alignment vertical="center"/>
    </xf>
    <xf numFmtId="0" fontId="32" fillId="25" borderId="8" applyNumberFormat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4" borderId="0" xfId="0" applyFont="1" applyFill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workbookViewId="0">
      <selection activeCell="C24" sqref="C24"/>
    </sheetView>
  </sheetViews>
  <sheetFormatPr defaultColWidth="9" defaultRowHeight="13.5"/>
  <cols>
    <col min="1" max="1" width="9" style="19"/>
    <col min="2" max="2" width="11.875" style="20" customWidth="1"/>
    <col min="3" max="3" width="43" style="19" customWidth="1"/>
    <col min="4" max="4" width="12.875" style="20" customWidth="1"/>
    <col min="7" max="7" width="10.5" customWidth="1"/>
    <col min="8" max="8" width="35.375" customWidth="1"/>
    <col min="9" max="9" width="11" customWidth="1"/>
  </cols>
  <sheetData>
    <row r="1" spans="1:9">
      <c r="A1" s="21" t="s">
        <v>0</v>
      </c>
      <c r="B1" s="21"/>
      <c r="C1" s="21"/>
      <c r="D1" s="21"/>
      <c r="F1" s="21" t="s">
        <v>1</v>
      </c>
      <c r="G1" s="21"/>
      <c r="H1" s="21"/>
      <c r="I1" s="21"/>
    </row>
    <row r="2" spans="1:9">
      <c r="A2" s="22" t="s">
        <v>2</v>
      </c>
      <c r="B2" s="22" t="s">
        <v>3</v>
      </c>
      <c r="C2" s="22" t="s">
        <v>4</v>
      </c>
      <c r="D2" s="23" t="s">
        <v>5</v>
      </c>
      <c r="F2" s="22" t="s">
        <v>2</v>
      </c>
      <c r="G2" s="22" t="s">
        <v>3</v>
      </c>
      <c r="H2" s="22" t="s">
        <v>4</v>
      </c>
      <c r="I2" s="23" t="s">
        <v>5</v>
      </c>
    </row>
    <row r="3" spans="1:9">
      <c r="A3" s="24" t="s">
        <v>6</v>
      </c>
      <c r="B3" s="24" t="s">
        <v>7</v>
      </c>
      <c r="C3" s="25" t="s">
        <v>8</v>
      </c>
      <c r="D3" s="24">
        <v>19</v>
      </c>
      <c r="F3" s="26" t="s">
        <v>6</v>
      </c>
      <c r="G3" s="26" t="s">
        <v>7</v>
      </c>
      <c r="H3" s="27" t="s">
        <v>9</v>
      </c>
      <c r="I3" s="26">
        <v>6</v>
      </c>
    </row>
    <row r="4" spans="1:9">
      <c r="A4" s="24"/>
      <c r="B4" s="24"/>
      <c r="C4" s="25" t="s">
        <v>10</v>
      </c>
      <c r="D4" s="24">
        <v>11</v>
      </c>
      <c r="F4" s="26"/>
      <c r="G4" s="26"/>
      <c r="H4" s="27" t="s">
        <v>11</v>
      </c>
      <c r="I4" s="26">
        <v>1</v>
      </c>
    </row>
    <row r="5" spans="1:9">
      <c r="A5" s="24"/>
      <c r="B5" s="24"/>
      <c r="C5" s="25" t="s">
        <v>12</v>
      </c>
      <c r="D5" s="24">
        <v>4</v>
      </c>
      <c r="F5" s="26"/>
      <c r="G5" s="26"/>
      <c r="H5" s="27" t="s">
        <v>13</v>
      </c>
      <c r="I5" s="26">
        <v>6</v>
      </c>
    </row>
    <row r="6" spans="1:9">
      <c r="A6" s="24"/>
      <c r="B6" s="24"/>
      <c r="C6" s="25" t="s">
        <v>14</v>
      </c>
      <c r="D6" s="24">
        <v>14</v>
      </c>
      <c r="F6" s="26"/>
      <c r="G6" s="26" t="s">
        <v>15</v>
      </c>
      <c r="H6" s="27" t="s">
        <v>16</v>
      </c>
      <c r="I6" s="26">
        <v>1</v>
      </c>
    </row>
    <row r="7" spans="1:9">
      <c r="A7" s="24"/>
      <c r="B7" s="24"/>
      <c r="C7" s="25" t="s">
        <v>17</v>
      </c>
      <c r="D7" s="24">
        <v>6</v>
      </c>
      <c r="F7" s="26"/>
      <c r="G7" s="26"/>
      <c r="H7" s="27" t="s">
        <v>9</v>
      </c>
      <c r="I7" s="26">
        <v>1</v>
      </c>
    </row>
    <row r="8" spans="1:9">
      <c r="A8" s="24"/>
      <c r="B8" s="24"/>
      <c r="C8" s="25" t="s">
        <v>11</v>
      </c>
      <c r="D8" s="24">
        <v>4</v>
      </c>
      <c r="F8" s="26"/>
      <c r="G8" s="26"/>
      <c r="H8" s="27" t="s">
        <v>18</v>
      </c>
      <c r="I8" s="26">
        <v>3</v>
      </c>
    </row>
    <row r="9" spans="1:9">
      <c r="A9" s="24"/>
      <c r="B9" s="24"/>
      <c r="C9" s="25" t="s">
        <v>19</v>
      </c>
      <c r="D9" s="24">
        <v>2</v>
      </c>
      <c r="F9" s="26"/>
      <c r="G9" s="26"/>
      <c r="H9" s="27" t="s">
        <v>20</v>
      </c>
      <c r="I9" s="26">
        <v>3</v>
      </c>
    </row>
    <row r="10" spans="1:9">
      <c r="A10" s="24"/>
      <c r="B10" s="24"/>
      <c r="C10" s="25" t="s">
        <v>21</v>
      </c>
      <c r="D10" s="24">
        <v>19</v>
      </c>
      <c r="F10" s="26" t="s">
        <v>22</v>
      </c>
      <c r="G10" s="26" t="s">
        <v>15</v>
      </c>
      <c r="H10" s="27" t="s">
        <v>23</v>
      </c>
      <c r="I10" s="26">
        <v>1</v>
      </c>
    </row>
    <row r="11" spans="1:9">
      <c r="A11" s="24"/>
      <c r="B11" s="24"/>
      <c r="C11" s="25" t="s">
        <v>24</v>
      </c>
      <c r="D11" s="24">
        <v>2</v>
      </c>
      <c r="F11" s="26"/>
      <c r="G11" s="26"/>
      <c r="H11" s="27" t="s">
        <v>25</v>
      </c>
      <c r="I11" s="26">
        <v>1</v>
      </c>
    </row>
    <row r="12" spans="1:9">
      <c r="A12" s="24"/>
      <c r="B12" s="24"/>
      <c r="C12" s="25" t="s">
        <v>26</v>
      </c>
      <c r="D12" s="24">
        <v>16</v>
      </c>
      <c r="F12" s="26"/>
      <c r="G12" s="26"/>
      <c r="H12" s="27" t="s">
        <v>27</v>
      </c>
      <c r="I12" s="26">
        <v>3</v>
      </c>
    </row>
    <row r="13" spans="1:9">
      <c r="A13" s="24"/>
      <c r="B13" s="24"/>
      <c r="C13" s="25" t="s">
        <v>28</v>
      </c>
      <c r="D13" s="24">
        <v>17</v>
      </c>
      <c r="F13" s="26"/>
      <c r="G13" s="26"/>
      <c r="H13" s="27" t="s">
        <v>29</v>
      </c>
      <c r="I13" s="26">
        <v>1</v>
      </c>
    </row>
    <row r="14" spans="1:9">
      <c r="A14" s="24"/>
      <c r="B14" s="24" t="s">
        <v>15</v>
      </c>
      <c r="C14" s="25" t="s">
        <v>30</v>
      </c>
      <c r="D14" s="24">
        <v>2</v>
      </c>
      <c r="F14" s="26" t="s">
        <v>31</v>
      </c>
      <c r="G14" s="26" t="s">
        <v>7</v>
      </c>
      <c r="H14" s="27" t="s">
        <v>32</v>
      </c>
      <c r="I14" s="26">
        <v>12</v>
      </c>
    </row>
    <row r="15" spans="1:9">
      <c r="A15" s="24"/>
      <c r="B15" s="24"/>
      <c r="C15" s="25" t="s">
        <v>8</v>
      </c>
      <c r="D15" s="24">
        <v>4</v>
      </c>
      <c r="F15" s="26"/>
      <c r="G15" s="26"/>
      <c r="H15" s="27" t="s">
        <v>33</v>
      </c>
      <c r="I15" s="26">
        <v>6</v>
      </c>
    </row>
    <row r="16" spans="1:9">
      <c r="A16" s="24"/>
      <c r="B16" s="24"/>
      <c r="C16" s="25" t="s">
        <v>10</v>
      </c>
      <c r="D16" s="24">
        <v>1</v>
      </c>
      <c r="F16" s="26"/>
      <c r="G16" s="26"/>
      <c r="H16" s="27" t="s">
        <v>34</v>
      </c>
      <c r="I16" s="26">
        <v>6</v>
      </c>
    </row>
    <row r="17" spans="1:9">
      <c r="A17" s="24"/>
      <c r="B17" s="24"/>
      <c r="C17" s="25" t="s">
        <v>14</v>
      </c>
      <c r="D17" s="24">
        <v>2</v>
      </c>
      <c r="F17" s="26"/>
      <c r="G17" s="26"/>
      <c r="H17" s="27" t="s">
        <v>35</v>
      </c>
      <c r="I17" s="26">
        <v>6</v>
      </c>
    </row>
    <row r="18" spans="1:9">
      <c r="A18" s="24"/>
      <c r="B18" s="24"/>
      <c r="C18" s="25" t="s">
        <v>36</v>
      </c>
      <c r="D18" s="24">
        <v>1</v>
      </c>
      <c r="F18" s="26"/>
      <c r="G18" s="26"/>
      <c r="H18" s="27" t="s">
        <v>37</v>
      </c>
      <c r="I18" s="26">
        <v>12</v>
      </c>
    </row>
    <row r="19" spans="1:9">
      <c r="A19" s="24"/>
      <c r="B19" s="24"/>
      <c r="C19" s="25" t="s">
        <v>26</v>
      </c>
      <c r="D19" s="24">
        <v>3</v>
      </c>
      <c r="F19" s="26"/>
      <c r="G19" s="26"/>
      <c r="H19" s="27" t="s">
        <v>38</v>
      </c>
      <c r="I19" s="26">
        <v>6</v>
      </c>
    </row>
    <row r="20" spans="1:9">
      <c r="A20" s="24"/>
      <c r="B20" s="24"/>
      <c r="C20" s="25" t="s">
        <v>28</v>
      </c>
      <c r="D20" s="24">
        <v>4</v>
      </c>
      <c r="F20" s="26"/>
      <c r="G20" s="26"/>
      <c r="H20" s="27" t="s">
        <v>39</v>
      </c>
      <c r="I20" s="26">
        <v>6</v>
      </c>
    </row>
    <row r="21" spans="1:9">
      <c r="A21" s="24" t="s">
        <v>40</v>
      </c>
      <c r="B21" s="24" t="s">
        <v>7</v>
      </c>
      <c r="C21" s="25" t="s">
        <v>41</v>
      </c>
      <c r="D21" s="24">
        <v>1</v>
      </c>
      <c r="F21" s="26"/>
      <c r="G21" s="26"/>
      <c r="H21" s="27" t="s">
        <v>42</v>
      </c>
      <c r="I21" s="26">
        <v>12</v>
      </c>
    </row>
    <row r="22" spans="1:9">
      <c r="A22" s="24"/>
      <c r="B22" s="24"/>
      <c r="C22" s="25" t="s">
        <v>43</v>
      </c>
      <c r="D22" s="24">
        <v>2</v>
      </c>
      <c r="F22" s="26"/>
      <c r="G22" s="26"/>
      <c r="H22" s="27" t="s">
        <v>44</v>
      </c>
      <c r="I22" s="26">
        <v>13</v>
      </c>
    </row>
    <row r="23" spans="1:9">
      <c r="A23" s="24"/>
      <c r="B23" s="24"/>
      <c r="C23" s="25" t="s">
        <v>45</v>
      </c>
      <c r="D23" s="24">
        <v>8</v>
      </c>
      <c r="F23" s="26"/>
      <c r="G23" s="26"/>
      <c r="H23" s="27" t="s">
        <v>46</v>
      </c>
      <c r="I23" s="26">
        <v>12</v>
      </c>
    </row>
    <row r="24" spans="1:9">
      <c r="A24" s="24"/>
      <c r="B24" s="24"/>
      <c r="C24" s="25" t="s">
        <v>47</v>
      </c>
      <c r="D24" s="24">
        <v>1</v>
      </c>
      <c r="F24" s="26"/>
      <c r="G24" s="26"/>
      <c r="H24" s="27" t="s">
        <v>48</v>
      </c>
      <c r="I24" s="26">
        <v>6</v>
      </c>
    </row>
    <row r="25" spans="1:9">
      <c r="A25" s="24"/>
      <c r="B25" s="24"/>
      <c r="C25" s="25" t="s">
        <v>49</v>
      </c>
      <c r="D25" s="24">
        <v>1</v>
      </c>
      <c r="F25" s="26" t="s">
        <v>50</v>
      </c>
      <c r="G25" s="26" t="s">
        <v>7</v>
      </c>
      <c r="H25" s="27" t="s">
        <v>51</v>
      </c>
      <c r="I25" s="26">
        <v>6</v>
      </c>
    </row>
    <row r="26" spans="1:9">
      <c r="A26" s="24"/>
      <c r="B26" s="24"/>
      <c r="C26" s="25" t="s">
        <v>52</v>
      </c>
      <c r="D26" s="24">
        <v>2</v>
      </c>
      <c r="F26" s="26"/>
      <c r="G26" s="26"/>
      <c r="H26" s="27" t="s">
        <v>53</v>
      </c>
      <c r="I26" s="26">
        <v>1</v>
      </c>
    </row>
    <row r="27" spans="1:9">
      <c r="A27" s="24"/>
      <c r="B27" s="24"/>
      <c r="C27" s="25" t="s">
        <v>54</v>
      </c>
      <c r="D27" s="24">
        <v>1</v>
      </c>
      <c r="F27" s="26"/>
      <c r="G27" s="26"/>
      <c r="H27" s="27" t="s">
        <v>55</v>
      </c>
      <c r="I27" s="26">
        <v>6</v>
      </c>
    </row>
    <row r="28" spans="1:9">
      <c r="A28" s="24"/>
      <c r="B28" s="24"/>
      <c r="C28" s="25" t="s">
        <v>56</v>
      </c>
      <c r="D28" s="24">
        <v>4</v>
      </c>
      <c r="F28" s="26"/>
      <c r="G28" s="26"/>
      <c r="H28" s="27" t="s">
        <v>57</v>
      </c>
      <c r="I28" s="26">
        <v>6</v>
      </c>
    </row>
    <row r="29" spans="1:9">
      <c r="A29" s="24"/>
      <c r="B29" s="24"/>
      <c r="C29" s="25" t="s">
        <v>58</v>
      </c>
      <c r="D29" s="24">
        <v>4</v>
      </c>
      <c r="F29" s="28" t="s">
        <v>59</v>
      </c>
      <c r="G29" s="29"/>
      <c r="H29" s="30"/>
      <c r="I29" s="31">
        <v>143</v>
      </c>
    </row>
    <row r="30" spans="1:4">
      <c r="A30" s="24"/>
      <c r="B30" s="24" t="s">
        <v>15</v>
      </c>
      <c r="C30" s="25" t="s">
        <v>60</v>
      </c>
      <c r="D30" s="24">
        <v>14</v>
      </c>
    </row>
    <row r="31" spans="1:4">
      <c r="A31" s="24" t="s">
        <v>22</v>
      </c>
      <c r="B31" s="24" t="s">
        <v>7</v>
      </c>
      <c r="C31" s="25" t="s">
        <v>61</v>
      </c>
      <c r="D31" s="24">
        <v>1</v>
      </c>
    </row>
    <row r="32" spans="1:4">
      <c r="A32" s="25"/>
      <c r="B32" s="24" t="s">
        <v>15</v>
      </c>
      <c r="C32" s="25" t="s">
        <v>62</v>
      </c>
      <c r="D32" s="24">
        <v>3</v>
      </c>
    </row>
    <row r="33" spans="1:4">
      <c r="A33" s="24" t="s">
        <v>31</v>
      </c>
      <c r="B33" s="24" t="s">
        <v>7</v>
      </c>
      <c r="C33" s="25" t="s">
        <v>35</v>
      </c>
      <c r="D33" s="24">
        <v>6</v>
      </c>
    </row>
    <row r="34" spans="1:4">
      <c r="A34" s="24"/>
      <c r="B34" s="24"/>
      <c r="C34" s="25" t="s">
        <v>37</v>
      </c>
      <c r="D34" s="24">
        <v>6</v>
      </c>
    </row>
    <row r="35" spans="1:4">
      <c r="A35" s="24"/>
      <c r="B35" s="24"/>
      <c r="C35" s="25" t="s">
        <v>48</v>
      </c>
      <c r="D35" s="24">
        <v>12</v>
      </c>
    </row>
    <row r="36" spans="1:4">
      <c r="A36" s="25" t="s">
        <v>63</v>
      </c>
      <c r="B36" s="24" t="s">
        <v>7</v>
      </c>
      <c r="C36" s="25" t="s">
        <v>64</v>
      </c>
      <c r="D36" s="24">
        <v>1</v>
      </c>
    </row>
    <row r="37" spans="1:4">
      <c r="A37" s="28" t="s">
        <v>59</v>
      </c>
      <c r="B37" s="29"/>
      <c r="C37" s="30"/>
      <c r="D37" s="31">
        <v>198</v>
      </c>
    </row>
    <row r="66" s="18" customFormat="1" spans="2:2">
      <c r="B66" s="32"/>
    </row>
  </sheetData>
  <mergeCells count="21">
    <mergeCell ref="A1:D1"/>
    <mergeCell ref="F1:I1"/>
    <mergeCell ref="F29:H29"/>
    <mergeCell ref="A37:C37"/>
    <mergeCell ref="A3:A20"/>
    <mergeCell ref="A21:A30"/>
    <mergeCell ref="A31:A32"/>
    <mergeCell ref="A33:A35"/>
    <mergeCell ref="B3:B13"/>
    <mergeCell ref="B14:B20"/>
    <mergeCell ref="B21:B29"/>
    <mergeCell ref="B33:B35"/>
    <mergeCell ref="F3:F9"/>
    <mergeCell ref="F10:F13"/>
    <mergeCell ref="F14:F24"/>
    <mergeCell ref="F25:F28"/>
    <mergeCell ref="G3:G5"/>
    <mergeCell ref="G6:G9"/>
    <mergeCell ref="G10:G13"/>
    <mergeCell ref="G14:G24"/>
    <mergeCell ref="G25:G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85"/>
  <sheetViews>
    <sheetView zoomScale="85" zoomScaleNormal="85" workbookViewId="0">
      <pane ySplit="1" topLeftCell="A96" activePane="bottomLeft" state="frozen"/>
      <selection/>
      <selection pane="bottomLeft" activeCell="B115" sqref="B115"/>
    </sheetView>
  </sheetViews>
  <sheetFormatPr defaultColWidth="9" defaultRowHeight="27" customHeight="1"/>
  <cols>
    <col min="1" max="1" width="19.5333333333333" customWidth="1"/>
    <col min="2" max="4" width="23.4416666666667" customWidth="1"/>
    <col min="5" max="7" width="11.7166666666667" customWidth="1"/>
    <col min="8" max="10" width="19.5333333333333" customWidth="1"/>
    <col min="11" max="13" width="19.5333333333333" style="12" customWidth="1"/>
    <col min="14" max="21" width="19.5333333333333" customWidth="1"/>
    <col min="22" max="22" width="46.875" customWidth="1"/>
    <col min="23" max="24" width="9" style="13"/>
  </cols>
  <sheetData>
    <row r="1" customHeight="1" spans="1:24">
      <c r="A1" s="14" t="s">
        <v>65</v>
      </c>
      <c r="B1" s="14" t="s">
        <v>4</v>
      </c>
      <c r="C1" s="14" t="s">
        <v>66</v>
      </c>
      <c r="D1" s="14" t="s">
        <v>67</v>
      </c>
      <c r="E1" s="14" t="s">
        <v>68</v>
      </c>
      <c r="F1" s="14" t="s">
        <v>69</v>
      </c>
      <c r="G1" s="14" t="s">
        <v>70</v>
      </c>
      <c r="H1" s="14" t="s">
        <v>71</v>
      </c>
      <c r="I1" s="14" t="s">
        <v>72</v>
      </c>
      <c r="J1" s="14" t="s">
        <v>73</v>
      </c>
      <c r="K1" s="14" t="s">
        <v>74</v>
      </c>
      <c r="L1" s="14" t="s">
        <v>75</v>
      </c>
      <c r="M1" s="14" t="s">
        <v>76</v>
      </c>
      <c r="N1" s="14" t="s">
        <v>77</v>
      </c>
      <c r="O1" s="14" t="s">
        <v>78</v>
      </c>
      <c r="P1" s="14" t="s">
        <v>2</v>
      </c>
      <c r="Q1" s="14" t="s">
        <v>79</v>
      </c>
      <c r="R1" s="14" t="s">
        <v>80</v>
      </c>
      <c r="S1" s="14" t="s">
        <v>81</v>
      </c>
      <c r="T1" s="14" t="s">
        <v>82</v>
      </c>
      <c r="U1" s="14" t="s">
        <v>3</v>
      </c>
      <c r="V1" s="14" t="s">
        <v>83</v>
      </c>
      <c r="W1" s="17" t="s">
        <v>84</v>
      </c>
      <c r="X1" s="17" t="s">
        <v>85</v>
      </c>
    </row>
    <row r="2" customHeight="1" spans="1:24">
      <c r="A2" s="15" t="s">
        <v>86</v>
      </c>
      <c r="B2" s="15" t="s">
        <v>87</v>
      </c>
      <c r="C2" s="15" t="s">
        <v>88</v>
      </c>
      <c r="D2" s="15" t="s">
        <v>88</v>
      </c>
      <c r="E2" s="15" t="s">
        <v>89</v>
      </c>
      <c r="F2" s="15" t="s">
        <v>89</v>
      </c>
      <c r="G2" s="15" t="s">
        <v>90</v>
      </c>
      <c r="H2" s="15" t="s">
        <v>91</v>
      </c>
      <c r="I2" s="15" t="s">
        <v>92</v>
      </c>
      <c r="J2" s="15" t="s">
        <v>93</v>
      </c>
      <c r="K2" s="16" t="s">
        <v>94</v>
      </c>
      <c r="L2" s="16" t="s">
        <v>95</v>
      </c>
      <c r="M2" s="16" t="s">
        <v>96</v>
      </c>
      <c r="N2" s="15" t="s">
        <v>97</v>
      </c>
      <c r="O2" s="15" t="s">
        <v>98</v>
      </c>
      <c r="P2" s="15" t="s">
        <v>97</v>
      </c>
      <c r="Q2" s="15"/>
      <c r="R2" s="15" t="s">
        <v>99</v>
      </c>
      <c r="S2" s="15" t="str">
        <f>HYPERLINK("http://ovopark.oss-cn-hangzhou.aliyuncs.com/202009011934126281.jpeg?x-oss-process=image/resize,w_700,l_700","查看图片")</f>
        <v>查看图片</v>
      </c>
      <c r="T2" s="15" t="str">
        <f>HYPERLINK("http://ovopark.oss-cn-hangzhou.aliyuncs.com/202009011935194007.jpeg","查看图片")</f>
        <v>查看图片</v>
      </c>
      <c r="U2" s="15" t="s">
        <v>100</v>
      </c>
      <c r="V2" s="15" t="s">
        <v>101</v>
      </c>
      <c r="W2" s="13" t="s">
        <v>102</v>
      </c>
      <c r="X2" s="13" t="s">
        <v>103</v>
      </c>
    </row>
    <row r="3" customHeight="1" spans="1:22">
      <c r="A3" s="15" t="s">
        <v>104</v>
      </c>
      <c r="B3" s="15" t="s">
        <v>105</v>
      </c>
      <c r="C3" s="15" t="s">
        <v>106</v>
      </c>
      <c r="D3" s="15" t="s">
        <v>107</v>
      </c>
      <c r="E3" s="15" t="s">
        <v>89</v>
      </c>
      <c r="F3" s="15" t="s">
        <v>89</v>
      </c>
      <c r="G3" s="15" t="s">
        <v>90</v>
      </c>
      <c r="H3" s="15" t="s">
        <v>91</v>
      </c>
      <c r="I3" s="15" t="s">
        <v>92</v>
      </c>
      <c r="J3" s="15" t="s">
        <v>108</v>
      </c>
      <c r="K3" s="16" t="s">
        <v>109</v>
      </c>
      <c r="L3" s="16" t="s">
        <v>110</v>
      </c>
      <c r="M3" s="16" t="s">
        <v>111</v>
      </c>
      <c r="N3" s="15"/>
      <c r="O3" s="15" t="s">
        <v>98</v>
      </c>
      <c r="P3" s="15" t="s">
        <v>112</v>
      </c>
      <c r="Q3" s="15"/>
      <c r="R3" s="15" t="s">
        <v>113</v>
      </c>
      <c r="S3" s="15" t="s">
        <v>114</v>
      </c>
      <c r="T3" s="15" t="s">
        <v>114</v>
      </c>
      <c r="U3" s="15" t="s">
        <v>100</v>
      </c>
      <c r="V3" s="15" t="s">
        <v>115</v>
      </c>
    </row>
    <row r="4" customHeight="1" spans="1:24">
      <c r="A4" s="15" t="s">
        <v>116</v>
      </c>
      <c r="B4" s="15" t="s">
        <v>23</v>
      </c>
      <c r="C4" s="15" t="s">
        <v>117</v>
      </c>
      <c r="D4" s="15" t="s">
        <v>118</v>
      </c>
      <c r="E4" s="15" t="s">
        <v>119</v>
      </c>
      <c r="F4" s="15" t="s">
        <v>89</v>
      </c>
      <c r="G4" s="15" t="s">
        <v>120</v>
      </c>
      <c r="H4" s="15" t="s">
        <v>91</v>
      </c>
      <c r="I4" s="15" t="s">
        <v>92</v>
      </c>
      <c r="J4" s="15" t="s">
        <v>121</v>
      </c>
      <c r="K4" s="16" t="s">
        <v>122</v>
      </c>
      <c r="L4" s="16" t="s">
        <v>123</v>
      </c>
      <c r="M4" s="16" t="s">
        <v>124</v>
      </c>
      <c r="N4" s="15" t="s">
        <v>125</v>
      </c>
      <c r="O4" s="15" t="s">
        <v>98</v>
      </c>
      <c r="P4" s="15" t="s">
        <v>126</v>
      </c>
      <c r="Q4" s="15"/>
      <c r="R4" s="15" t="s">
        <v>127</v>
      </c>
      <c r="S4" s="15" t="s">
        <v>114</v>
      </c>
      <c r="T4" s="15" t="str">
        <f>HYPERLINK("http://ovopark.oss-cn-hangzhou.aliyuncs.com/20201001213503297.jpeg","查看图片")</f>
        <v>查看图片</v>
      </c>
      <c r="U4" s="15" t="s">
        <v>15</v>
      </c>
      <c r="V4" s="15" t="s">
        <v>128</v>
      </c>
      <c r="W4" s="13" t="s">
        <v>102</v>
      </c>
      <c r="X4" s="13" t="s">
        <v>22</v>
      </c>
    </row>
    <row r="5" customHeight="1" spans="1:24">
      <c r="A5" s="15" t="s">
        <v>129</v>
      </c>
      <c r="B5" s="15" t="s">
        <v>130</v>
      </c>
      <c r="C5" s="15" t="s">
        <v>131</v>
      </c>
      <c r="D5" s="15" t="s">
        <v>132</v>
      </c>
      <c r="E5" s="15" t="s">
        <v>89</v>
      </c>
      <c r="F5" s="15" t="s">
        <v>89</v>
      </c>
      <c r="G5" s="15" t="s">
        <v>120</v>
      </c>
      <c r="H5" s="15" t="s">
        <v>91</v>
      </c>
      <c r="I5" s="15" t="s">
        <v>133</v>
      </c>
      <c r="J5" s="15" t="s">
        <v>121</v>
      </c>
      <c r="K5" s="16" t="s">
        <v>122</v>
      </c>
      <c r="L5" s="16" t="s">
        <v>127</v>
      </c>
      <c r="M5" s="16" t="s">
        <v>127</v>
      </c>
      <c r="N5" s="15" t="s">
        <v>134</v>
      </c>
      <c r="O5" s="15" t="s">
        <v>134</v>
      </c>
      <c r="P5" s="15" t="s">
        <v>135</v>
      </c>
      <c r="Q5" s="15"/>
      <c r="R5" s="15" t="s">
        <v>127</v>
      </c>
      <c r="S5" s="15" t="s">
        <v>114</v>
      </c>
      <c r="T5" s="15" t="s">
        <v>114</v>
      </c>
      <c r="U5" s="15" t="s">
        <v>15</v>
      </c>
      <c r="V5" s="15" t="s">
        <v>136</v>
      </c>
      <c r="W5" s="13" t="s">
        <v>137</v>
      </c>
      <c r="X5" s="13" t="s">
        <v>138</v>
      </c>
    </row>
    <row r="6" customHeight="1" spans="1:24">
      <c r="A6" s="15" t="s">
        <v>139</v>
      </c>
      <c r="B6" s="15" t="s">
        <v>140</v>
      </c>
      <c r="C6" s="15" t="s">
        <v>141</v>
      </c>
      <c r="D6" s="15" t="s">
        <v>142</v>
      </c>
      <c r="E6" s="15" t="s">
        <v>89</v>
      </c>
      <c r="F6" s="15" t="s">
        <v>89</v>
      </c>
      <c r="G6" s="15" t="s">
        <v>120</v>
      </c>
      <c r="H6" s="15" t="s">
        <v>91</v>
      </c>
      <c r="I6" s="15" t="s">
        <v>92</v>
      </c>
      <c r="J6" s="15" t="s">
        <v>143</v>
      </c>
      <c r="K6" s="16" t="s">
        <v>144</v>
      </c>
      <c r="L6" s="16" t="s">
        <v>145</v>
      </c>
      <c r="M6" s="16" t="s">
        <v>146</v>
      </c>
      <c r="N6" s="15" t="s">
        <v>147</v>
      </c>
      <c r="O6" s="15" t="s">
        <v>98</v>
      </c>
      <c r="P6" s="15" t="s">
        <v>135</v>
      </c>
      <c r="Q6" s="15"/>
      <c r="R6" s="15" t="s">
        <v>148</v>
      </c>
      <c r="S6" s="15" t="s">
        <v>114</v>
      </c>
      <c r="T6" s="15" t="s">
        <v>114</v>
      </c>
      <c r="U6" s="15" t="s">
        <v>15</v>
      </c>
      <c r="V6" s="15" t="s">
        <v>149</v>
      </c>
      <c r="W6" s="13" t="s">
        <v>137</v>
      </c>
      <c r="X6" s="13" t="s">
        <v>150</v>
      </c>
    </row>
    <row r="7" customHeight="1" spans="1:24">
      <c r="A7" s="15" t="s">
        <v>151</v>
      </c>
      <c r="B7" s="15" t="s">
        <v>56</v>
      </c>
      <c r="C7" s="15" t="s">
        <v>152</v>
      </c>
      <c r="D7" s="15" t="s">
        <v>153</v>
      </c>
      <c r="E7" s="15" t="s">
        <v>154</v>
      </c>
      <c r="F7" s="15" t="s">
        <v>89</v>
      </c>
      <c r="G7" s="15" t="s">
        <v>120</v>
      </c>
      <c r="H7" s="15" t="s">
        <v>91</v>
      </c>
      <c r="I7" s="15" t="s">
        <v>92</v>
      </c>
      <c r="J7" s="15" t="s">
        <v>155</v>
      </c>
      <c r="K7" s="16" t="s">
        <v>156</v>
      </c>
      <c r="L7" s="16" t="s">
        <v>157</v>
      </c>
      <c r="M7" s="16" t="s">
        <v>158</v>
      </c>
      <c r="N7" s="15" t="s">
        <v>159</v>
      </c>
      <c r="O7" s="15" t="s">
        <v>98</v>
      </c>
      <c r="P7" s="15" t="s">
        <v>160</v>
      </c>
      <c r="Q7" s="15"/>
      <c r="R7" s="15" t="s">
        <v>127</v>
      </c>
      <c r="S7" s="15" t="str">
        <f>HYPERLINK("http://shopweb.tjgdyf.com:8090/snapshot/G_62/D_1330/p_1945/20200917231350.jpg","查看图片")</f>
        <v>查看图片</v>
      </c>
      <c r="T7" s="15" t="str">
        <f>HYPERLINK("http://ovopark.oss-cn-hangzhou.aliyuncs.com/3310_8837209488754_image_1601002961358.jpg","查看图片")</f>
        <v>查看图片</v>
      </c>
      <c r="U7" s="15" t="s">
        <v>7</v>
      </c>
      <c r="V7" s="15" t="s">
        <v>161</v>
      </c>
      <c r="W7" s="13" t="s">
        <v>137</v>
      </c>
      <c r="X7" s="13" t="s">
        <v>162</v>
      </c>
    </row>
    <row r="8" customHeight="1" spans="1:24">
      <c r="A8" s="15" t="s">
        <v>163</v>
      </c>
      <c r="B8" s="15" t="s">
        <v>56</v>
      </c>
      <c r="C8" s="15" t="s">
        <v>152</v>
      </c>
      <c r="D8" s="15" t="s">
        <v>153</v>
      </c>
      <c r="E8" s="15" t="s">
        <v>154</v>
      </c>
      <c r="F8" s="15" t="s">
        <v>89</v>
      </c>
      <c r="G8" s="15" t="s">
        <v>120</v>
      </c>
      <c r="H8" s="15" t="s">
        <v>91</v>
      </c>
      <c r="I8" s="15" t="s">
        <v>92</v>
      </c>
      <c r="J8" s="15" t="s">
        <v>155</v>
      </c>
      <c r="K8" s="16" t="s">
        <v>156</v>
      </c>
      <c r="L8" s="16" t="s">
        <v>164</v>
      </c>
      <c r="M8" s="16" t="s">
        <v>165</v>
      </c>
      <c r="N8" s="15" t="s">
        <v>159</v>
      </c>
      <c r="O8" s="15" t="s">
        <v>98</v>
      </c>
      <c r="P8" s="15" t="s">
        <v>160</v>
      </c>
      <c r="Q8" s="15"/>
      <c r="R8" s="15" t="s">
        <v>127</v>
      </c>
      <c r="S8" s="15" t="str">
        <f>HYPERLINK("http://shopweb.tjgdyf.com:8090/snapshot/G_62/D_1330/p_1947/20200917231358.jpg","查看图片")</f>
        <v>查看图片</v>
      </c>
      <c r="T8" s="15" t="str">
        <f>HYPERLINK("http://ovopark.oss-cn-hangzhou.aliyuncs.com/3310_8914129255930_image_1601003042363.jpg","查看图片")</f>
        <v>查看图片</v>
      </c>
      <c r="U8" s="15" t="s">
        <v>7</v>
      </c>
      <c r="V8" s="15" t="s">
        <v>166</v>
      </c>
      <c r="W8" s="13" t="s">
        <v>137</v>
      </c>
      <c r="X8" s="13" t="s">
        <v>162</v>
      </c>
    </row>
    <row r="9" customHeight="1" spans="1:24">
      <c r="A9" s="15" t="s">
        <v>167</v>
      </c>
      <c r="B9" s="15" t="s">
        <v>64</v>
      </c>
      <c r="C9" s="15" t="s">
        <v>152</v>
      </c>
      <c r="D9" s="15" t="s">
        <v>168</v>
      </c>
      <c r="E9" s="15" t="s">
        <v>154</v>
      </c>
      <c r="F9" s="15" t="s">
        <v>89</v>
      </c>
      <c r="G9" s="15" t="s">
        <v>120</v>
      </c>
      <c r="H9" s="15" t="s">
        <v>91</v>
      </c>
      <c r="I9" s="15" t="s">
        <v>92</v>
      </c>
      <c r="J9" s="15" t="s">
        <v>169</v>
      </c>
      <c r="K9" s="16" t="s">
        <v>170</v>
      </c>
      <c r="L9" s="16" t="s">
        <v>171</v>
      </c>
      <c r="M9" s="16" t="s">
        <v>172</v>
      </c>
      <c r="N9" s="15" t="s">
        <v>173</v>
      </c>
      <c r="O9" s="15" t="s">
        <v>98</v>
      </c>
      <c r="P9" s="15" t="s">
        <v>174</v>
      </c>
      <c r="Q9" s="15"/>
      <c r="R9" s="15" t="s">
        <v>175</v>
      </c>
      <c r="S9" s="15" t="str">
        <f>HYPERLINK("http://shopweb.tjgdyf.com:8090/snapshot/G_62/D_1592/p_6816/0014101e357f_20200909093202_2.jpg","查看图片")</f>
        <v>查看图片</v>
      </c>
      <c r="T9" s="15" t="str">
        <f>HYPERLINK("http://ovopark.oss-cn-hangzhou.aliyuncs.com/2047_145679385030866_image_1600955473446.jpg","查看图片")</f>
        <v>查看图片</v>
      </c>
      <c r="U9" s="15" t="s">
        <v>7</v>
      </c>
      <c r="V9" s="15" t="s">
        <v>176</v>
      </c>
      <c r="W9" s="13" t="s">
        <v>137</v>
      </c>
      <c r="X9" s="13" t="s">
        <v>177</v>
      </c>
    </row>
    <row r="10" customHeight="1" spans="1:24">
      <c r="A10" s="15" t="s">
        <v>178</v>
      </c>
      <c r="B10" s="15" t="s">
        <v>26</v>
      </c>
      <c r="C10" s="15" t="s">
        <v>179</v>
      </c>
      <c r="D10" s="15" t="s">
        <v>180</v>
      </c>
      <c r="E10" s="15" t="s">
        <v>154</v>
      </c>
      <c r="F10" s="15" t="s">
        <v>89</v>
      </c>
      <c r="G10" s="15" t="s">
        <v>120</v>
      </c>
      <c r="H10" s="15" t="s">
        <v>91</v>
      </c>
      <c r="I10" s="15" t="s">
        <v>92</v>
      </c>
      <c r="J10" s="15" t="s">
        <v>181</v>
      </c>
      <c r="K10" s="16" t="s">
        <v>182</v>
      </c>
      <c r="L10" s="16" t="s">
        <v>183</v>
      </c>
      <c r="M10" s="16" t="s">
        <v>184</v>
      </c>
      <c r="N10" s="15" t="s">
        <v>185</v>
      </c>
      <c r="O10" s="15" t="s">
        <v>98</v>
      </c>
      <c r="P10" s="15" t="s">
        <v>186</v>
      </c>
      <c r="Q10" s="15"/>
      <c r="R10" s="15" t="s">
        <v>127</v>
      </c>
      <c r="S10" s="15" t="str">
        <f>HYPERLINK("http://ovopark.oss-cn-hangzhou.aliyuncs.com/1970_79821333980940_compress_79821644920158_image_1600163325882.jpg?x-oss-process=image/resize,w_700,l_700","查看图片")</f>
        <v>查看图片</v>
      </c>
      <c r="T10" s="15" t="str">
        <f>HYPERLINK("http://ovopark.oss-cn-hangzhou.aliyuncs.com/2050_189099372922433_image_1600937520335.jpg","查看图片")</f>
        <v>查看图片</v>
      </c>
      <c r="U10" s="15" t="s">
        <v>15</v>
      </c>
      <c r="V10" s="15" t="s">
        <v>187</v>
      </c>
      <c r="W10" s="13" t="s">
        <v>137</v>
      </c>
      <c r="X10" s="13" t="s">
        <v>188</v>
      </c>
    </row>
    <row r="11" customHeight="1" spans="1:24">
      <c r="A11" s="15" t="s">
        <v>189</v>
      </c>
      <c r="B11" s="15" t="s">
        <v>21</v>
      </c>
      <c r="C11" s="15" t="s">
        <v>190</v>
      </c>
      <c r="D11" s="15" t="s">
        <v>191</v>
      </c>
      <c r="E11" s="15" t="s">
        <v>154</v>
      </c>
      <c r="F11" s="15" t="s">
        <v>89</v>
      </c>
      <c r="G11" s="15" t="s">
        <v>120</v>
      </c>
      <c r="H11" s="15" t="s">
        <v>91</v>
      </c>
      <c r="I11" s="15" t="s">
        <v>92</v>
      </c>
      <c r="J11" s="15" t="s">
        <v>182</v>
      </c>
      <c r="K11" s="16" t="s">
        <v>192</v>
      </c>
      <c r="L11" s="16" t="s">
        <v>193</v>
      </c>
      <c r="M11" s="16" t="s">
        <v>194</v>
      </c>
      <c r="N11" s="15" t="s">
        <v>195</v>
      </c>
      <c r="O11" s="15" t="s">
        <v>98</v>
      </c>
      <c r="P11" s="15" t="s">
        <v>186</v>
      </c>
      <c r="Q11" s="15"/>
      <c r="R11" s="15" t="s">
        <v>127</v>
      </c>
      <c r="S11" s="15" t="str">
        <f>HYPERLINK("http://shopweb.tjgdyf.com:8090/snapshot/G_62/D_1311/p_781/20200918163548.jpg","查看图片")</f>
        <v>查看图片</v>
      </c>
      <c r="T11" s="15" t="str">
        <f>HYPERLINK("http://ovopark.oss-cn-hangzhou.aliyuncs.com/2128_653936387457791_image_1600938012447.jpg","查看图片")</f>
        <v>查看图片</v>
      </c>
      <c r="U11" s="15" t="s">
        <v>7</v>
      </c>
      <c r="V11" s="15" t="s">
        <v>196</v>
      </c>
      <c r="W11" s="13" t="s">
        <v>137</v>
      </c>
      <c r="X11" s="13" t="s">
        <v>197</v>
      </c>
    </row>
    <row r="12" customHeight="1" spans="1:24">
      <c r="A12" s="15" t="s">
        <v>198</v>
      </c>
      <c r="B12" s="15" t="s">
        <v>21</v>
      </c>
      <c r="C12" s="15" t="s">
        <v>190</v>
      </c>
      <c r="D12" s="15" t="s">
        <v>191</v>
      </c>
      <c r="E12" s="15" t="s">
        <v>154</v>
      </c>
      <c r="F12" s="15" t="s">
        <v>89</v>
      </c>
      <c r="G12" s="15" t="s">
        <v>120</v>
      </c>
      <c r="H12" s="15" t="s">
        <v>91</v>
      </c>
      <c r="I12" s="15" t="s">
        <v>92</v>
      </c>
      <c r="J12" s="15" t="s">
        <v>182</v>
      </c>
      <c r="K12" s="16" t="s">
        <v>192</v>
      </c>
      <c r="L12" s="16" t="s">
        <v>199</v>
      </c>
      <c r="M12" s="16" t="s">
        <v>200</v>
      </c>
      <c r="N12" s="15" t="s">
        <v>195</v>
      </c>
      <c r="O12" s="15" t="s">
        <v>98</v>
      </c>
      <c r="P12" s="15" t="s">
        <v>186</v>
      </c>
      <c r="Q12" s="15"/>
      <c r="R12" s="15" t="s">
        <v>127</v>
      </c>
      <c r="S12" s="15" t="str">
        <f>HYPERLINK("http://shopweb.tjgdyf.com:8090/snapshot/G_62/D_1311/p_772/20200918163448.jpg","查看图片")</f>
        <v>查看图片</v>
      </c>
      <c r="T12" s="15" t="str">
        <f>HYPERLINK("http://ovopark.oss-cn-hangzhou.aliyuncs.com/2128_653974639769764_IMG_20200924_170042.jpg","查看图片")</f>
        <v>查看图片</v>
      </c>
      <c r="U12" s="15" t="s">
        <v>7</v>
      </c>
      <c r="V12" s="15" t="s">
        <v>201</v>
      </c>
      <c r="W12" s="13" t="s">
        <v>137</v>
      </c>
      <c r="X12" s="13" t="s">
        <v>197</v>
      </c>
    </row>
    <row r="13" customHeight="1" spans="1:24">
      <c r="A13" s="15" t="s">
        <v>202</v>
      </c>
      <c r="B13" s="15" t="s">
        <v>21</v>
      </c>
      <c r="C13" s="15" t="s">
        <v>190</v>
      </c>
      <c r="D13" s="15" t="s">
        <v>191</v>
      </c>
      <c r="E13" s="15" t="s">
        <v>154</v>
      </c>
      <c r="F13" s="15" t="s">
        <v>89</v>
      </c>
      <c r="G13" s="15" t="s">
        <v>120</v>
      </c>
      <c r="H13" s="15" t="s">
        <v>91</v>
      </c>
      <c r="I13" s="15" t="s">
        <v>92</v>
      </c>
      <c r="J13" s="15" t="s">
        <v>182</v>
      </c>
      <c r="K13" s="16" t="s">
        <v>192</v>
      </c>
      <c r="L13" s="16" t="s">
        <v>203</v>
      </c>
      <c r="M13" s="16" t="s">
        <v>204</v>
      </c>
      <c r="N13" s="15" t="s">
        <v>195</v>
      </c>
      <c r="O13" s="15" t="s">
        <v>98</v>
      </c>
      <c r="P13" s="15" t="s">
        <v>186</v>
      </c>
      <c r="Q13" s="15"/>
      <c r="R13" s="15" t="s">
        <v>127</v>
      </c>
      <c r="S13" s="15" t="str">
        <f>HYPERLINK("http://shopweb.tjgdyf.com:8090/snapshot/G_62/D_1311/p_763/20200918163342.jpg","查看图片")</f>
        <v>查看图片</v>
      </c>
      <c r="T13" s="15" t="str">
        <f>HYPERLINK("http://ovopark.oss-cn-hangzhou.aliyuncs.com/2128_654038394303609_IMG_20200924_170128.jpg","查看图片")</f>
        <v>查看图片</v>
      </c>
      <c r="U13" s="15" t="s">
        <v>7</v>
      </c>
      <c r="V13" s="15" t="s">
        <v>205</v>
      </c>
      <c r="W13" s="13" t="s">
        <v>137</v>
      </c>
      <c r="X13" s="13" t="s">
        <v>197</v>
      </c>
    </row>
    <row r="14" customHeight="1" spans="1:24">
      <c r="A14" s="15" t="s">
        <v>206</v>
      </c>
      <c r="B14" s="15" t="s">
        <v>21</v>
      </c>
      <c r="C14" s="15" t="s">
        <v>190</v>
      </c>
      <c r="D14" s="15" t="s">
        <v>191</v>
      </c>
      <c r="E14" s="15" t="s">
        <v>154</v>
      </c>
      <c r="F14" s="15" t="s">
        <v>89</v>
      </c>
      <c r="G14" s="15" t="s">
        <v>120</v>
      </c>
      <c r="H14" s="15" t="s">
        <v>91</v>
      </c>
      <c r="I14" s="15" t="s">
        <v>92</v>
      </c>
      <c r="J14" s="15" t="s">
        <v>94</v>
      </c>
      <c r="K14" s="16" t="s">
        <v>207</v>
      </c>
      <c r="L14" s="16" t="s">
        <v>208</v>
      </c>
      <c r="M14" s="16" t="s">
        <v>209</v>
      </c>
      <c r="N14" s="15" t="s">
        <v>195</v>
      </c>
      <c r="O14" s="15" t="s">
        <v>98</v>
      </c>
      <c r="P14" s="15" t="s">
        <v>186</v>
      </c>
      <c r="Q14" s="15"/>
      <c r="R14" s="15" t="s">
        <v>127</v>
      </c>
      <c r="S14" s="15" t="str">
        <f>HYPERLINK("http://shopweb.tjgdyf.com:8090/snapshot/G_62/D_1311/p_764/20200904142654.jpg","查看图片")</f>
        <v>查看图片</v>
      </c>
      <c r="T14" s="15" t="str">
        <f>HYPERLINK("http://ovopark.oss-cn-hangzhou.aliyuncs.com/2128_654126202896304_IMG_20200924_170312.jpg","查看图片")</f>
        <v>查看图片</v>
      </c>
      <c r="U14" s="15" t="s">
        <v>7</v>
      </c>
      <c r="V14" s="15" t="s">
        <v>210</v>
      </c>
      <c r="W14" s="13" t="s">
        <v>137</v>
      </c>
      <c r="X14" s="13" t="s">
        <v>197</v>
      </c>
    </row>
    <row r="15" customHeight="1" spans="1:24">
      <c r="A15" s="15" t="s">
        <v>211</v>
      </c>
      <c r="B15" s="15" t="s">
        <v>21</v>
      </c>
      <c r="C15" s="15" t="s">
        <v>212</v>
      </c>
      <c r="D15" s="15" t="s">
        <v>213</v>
      </c>
      <c r="E15" s="15" t="s">
        <v>154</v>
      </c>
      <c r="F15" s="15" t="s">
        <v>89</v>
      </c>
      <c r="G15" s="15" t="s">
        <v>120</v>
      </c>
      <c r="H15" s="15" t="s">
        <v>91</v>
      </c>
      <c r="I15" s="15" t="s">
        <v>92</v>
      </c>
      <c r="J15" s="15" t="s">
        <v>214</v>
      </c>
      <c r="K15" s="16" t="s">
        <v>215</v>
      </c>
      <c r="L15" s="16" t="s">
        <v>216</v>
      </c>
      <c r="M15" s="16" t="s">
        <v>217</v>
      </c>
      <c r="N15" s="15" t="s">
        <v>195</v>
      </c>
      <c r="O15" s="15" t="s">
        <v>98</v>
      </c>
      <c r="P15" s="15" t="s">
        <v>186</v>
      </c>
      <c r="Q15" s="15"/>
      <c r="R15" s="15" t="s">
        <v>218</v>
      </c>
      <c r="S15" s="15" t="str">
        <f>HYPERLINK("http://shopweb.tjgdyf.com:8090/snapshot/G_62/D_1311/p_787/20200911105955.jpg","查看图片")</f>
        <v>查看图片</v>
      </c>
      <c r="T15" s="15" t="str">
        <f>HYPERLINK("http://ovopark.oss-cn-hangzhou.aliyuncs.com/2128_654170831978068_IMG_20200924_170359.jpg","查看图片")</f>
        <v>查看图片</v>
      </c>
      <c r="U15" s="15" t="s">
        <v>7</v>
      </c>
      <c r="V15" s="15" t="s">
        <v>219</v>
      </c>
      <c r="W15" s="13" t="s">
        <v>137</v>
      </c>
      <c r="X15" s="13" t="s">
        <v>197</v>
      </c>
    </row>
    <row r="16" customHeight="1" spans="1:24">
      <c r="A16" s="15" t="s">
        <v>220</v>
      </c>
      <c r="B16" s="15" t="s">
        <v>21</v>
      </c>
      <c r="C16" s="15" t="s">
        <v>221</v>
      </c>
      <c r="D16" s="15" t="s">
        <v>222</v>
      </c>
      <c r="E16" s="15" t="s">
        <v>89</v>
      </c>
      <c r="F16" s="15" t="s">
        <v>89</v>
      </c>
      <c r="G16" s="15" t="s">
        <v>120</v>
      </c>
      <c r="H16" s="15" t="s">
        <v>91</v>
      </c>
      <c r="I16" s="15" t="s">
        <v>92</v>
      </c>
      <c r="J16" s="15" t="s">
        <v>155</v>
      </c>
      <c r="K16" s="16" t="s">
        <v>156</v>
      </c>
      <c r="L16" s="16" t="s">
        <v>223</v>
      </c>
      <c r="M16" s="16" t="s">
        <v>224</v>
      </c>
      <c r="N16" s="15" t="s">
        <v>195</v>
      </c>
      <c r="O16" s="15" t="s">
        <v>98</v>
      </c>
      <c r="P16" s="15" t="s">
        <v>186</v>
      </c>
      <c r="Q16" s="15"/>
      <c r="R16" s="15" t="s">
        <v>127</v>
      </c>
      <c r="S16" s="15" t="s">
        <v>114</v>
      </c>
      <c r="T16" s="15" t="s">
        <v>114</v>
      </c>
      <c r="U16" s="15" t="s">
        <v>7</v>
      </c>
      <c r="V16" s="15" t="s">
        <v>225</v>
      </c>
      <c r="W16" s="13" t="s">
        <v>137</v>
      </c>
      <c r="X16" s="13" t="s">
        <v>197</v>
      </c>
    </row>
    <row r="17" customHeight="1" spans="1:24">
      <c r="A17" s="15" t="s">
        <v>226</v>
      </c>
      <c r="B17" s="15" t="s">
        <v>21</v>
      </c>
      <c r="C17" s="15" t="s">
        <v>190</v>
      </c>
      <c r="D17" s="15" t="s">
        <v>191</v>
      </c>
      <c r="E17" s="15" t="s">
        <v>154</v>
      </c>
      <c r="F17" s="15" t="s">
        <v>89</v>
      </c>
      <c r="G17" s="15" t="s">
        <v>120</v>
      </c>
      <c r="H17" s="15" t="s">
        <v>91</v>
      </c>
      <c r="I17" s="15" t="s">
        <v>92</v>
      </c>
      <c r="J17" s="15" t="s">
        <v>214</v>
      </c>
      <c r="K17" s="16" t="s">
        <v>215</v>
      </c>
      <c r="L17" s="16" t="s">
        <v>227</v>
      </c>
      <c r="M17" s="16" t="s">
        <v>228</v>
      </c>
      <c r="N17" s="15" t="s">
        <v>195</v>
      </c>
      <c r="O17" s="15" t="s">
        <v>98</v>
      </c>
      <c r="P17" s="15" t="s">
        <v>186</v>
      </c>
      <c r="Q17" s="15"/>
      <c r="R17" s="15" t="s">
        <v>127</v>
      </c>
      <c r="S17" s="15" t="str">
        <f>HYPERLINK("http://shopweb.tjgdyf.com:8090/snapshot/G_62/D_1311/p_774/20200911112858.jpg","查看图片")</f>
        <v>查看图片</v>
      </c>
      <c r="T17" s="15" t="str">
        <f>HYPERLINK("http://ovopark.oss-cn-hangzhou.aliyuncs.com/2128_654460944196773_IMG_20200924_170849.jpg","查看图片")</f>
        <v>查看图片</v>
      </c>
      <c r="U17" s="15" t="s">
        <v>7</v>
      </c>
      <c r="V17" s="15" t="s">
        <v>229</v>
      </c>
      <c r="W17" s="13" t="s">
        <v>137</v>
      </c>
      <c r="X17" s="13" t="s">
        <v>197</v>
      </c>
    </row>
    <row r="18" customHeight="1" spans="1:24">
      <c r="A18" s="15" t="s">
        <v>230</v>
      </c>
      <c r="B18" s="15" t="s">
        <v>21</v>
      </c>
      <c r="C18" s="15" t="s">
        <v>190</v>
      </c>
      <c r="D18" s="15" t="s">
        <v>191</v>
      </c>
      <c r="E18" s="15" t="s">
        <v>154</v>
      </c>
      <c r="F18" s="15" t="s">
        <v>89</v>
      </c>
      <c r="G18" s="15" t="s">
        <v>120</v>
      </c>
      <c r="H18" s="15" t="s">
        <v>91</v>
      </c>
      <c r="I18" s="15" t="s">
        <v>92</v>
      </c>
      <c r="J18" s="15" t="s">
        <v>214</v>
      </c>
      <c r="K18" s="16" t="s">
        <v>215</v>
      </c>
      <c r="L18" s="16" t="s">
        <v>231</v>
      </c>
      <c r="M18" s="16" t="s">
        <v>232</v>
      </c>
      <c r="N18" s="15" t="s">
        <v>195</v>
      </c>
      <c r="O18" s="15" t="s">
        <v>98</v>
      </c>
      <c r="P18" s="15" t="s">
        <v>186</v>
      </c>
      <c r="Q18" s="15"/>
      <c r="R18" s="15" t="s">
        <v>127</v>
      </c>
      <c r="S18" s="15" t="str">
        <f>HYPERLINK("http://shopweb.tjgdyf.com:8090/snapshot/G_62/D_1311/p_771/20200911110303.jpg","查看图片")</f>
        <v>查看图片</v>
      </c>
      <c r="T18" s="15" t="str">
        <f>HYPERLINK("http://ovopark.oss-cn-hangzhou.aliyuncs.com/2128_654541174898324_ovopark_modify_pic_20200924171013.jpg","查看图片")</f>
        <v>查看图片</v>
      </c>
      <c r="U18" s="15" t="s">
        <v>7</v>
      </c>
      <c r="V18" s="15" t="s">
        <v>233</v>
      </c>
      <c r="W18" s="13" t="s">
        <v>137</v>
      </c>
      <c r="X18" s="13" t="s">
        <v>197</v>
      </c>
    </row>
    <row r="19" customHeight="1" spans="1:24">
      <c r="A19" s="15" t="s">
        <v>234</v>
      </c>
      <c r="B19" s="15" t="s">
        <v>21</v>
      </c>
      <c r="C19" s="15" t="s">
        <v>190</v>
      </c>
      <c r="D19" s="15" t="s">
        <v>191</v>
      </c>
      <c r="E19" s="15" t="s">
        <v>154</v>
      </c>
      <c r="F19" s="15" t="s">
        <v>89</v>
      </c>
      <c r="G19" s="15" t="s">
        <v>120</v>
      </c>
      <c r="H19" s="15" t="s">
        <v>91</v>
      </c>
      <c r="I19" s="15" t="s">
        <v>92</v>
      </c>
      <c r="J19" s="15" t="s">
        <v>214</v>
      </c>
      <c r="K19" s="16" t="s">
        <v>215</v>
      </c>
      <c r="L19" s="16" t="s">
        <v>235</v>
      </c>
      <c r="M19" s="16" t="s">
        <v>236</v>
      </c>
      <c r="N19" s="15" t="s">
        <v>195</v>
      </c>
      <c r="O19" s="15" t="s">
        <v>98</v>
      </c>
      <c r="P19" s="15" t="s">
        <v>186</v>
      </c>
      <c r="Q19" s="15"/>
      <c r="R19" s="15" t="s">
        <v>127</v>
      </c>
      <c r="S19" s="15" t="str">
        <f>HYPERLINK("http://shopweb.tjgdyf.com:8090/snapshot/G_62/D_1311/p_763/20200911110148.jpg","查看图片")</f>
        <v>查看图片</v>
      </c>
      <c r="T19" s="15" t="str">
        <f>HYPERLINK("http://ovopark.oss-cn-hangzhou.aliyuncs.com/2128_654608809848313_ovopark_modify_pic_20200924171122.jpg","查看图片")</f>
        <v>查看图片</v>
      </c>
      <c r="U19" s="15" t="s">
        <v>7</v>
      </c>
      <c r="V19" s="15" t="s">
        <v>237</v>
      </c>
      <c r="W19" s="13" t="s">
        <v>137</v>
      </c>
      <c r="X19" s="13" t="s">
        <v>197</v>
      </c>
    </row>
    <row r="20" customHeight="1" spans="1:24">
      <c r="A20" s="15" t="s">
        <v>238</v>
      </c>
      <c r="B20" s="15" t="s">
        <v>21</v>
      </c>
      <c r="C20" s="15" t="s">
        <v>190</v>
      </c>
      <c r="D20" s="15" t="s">
        <v>191</v>
      </c>
      <c r="E20" s="15" t="s">
        <v>154</v>
      </c>
      <c r="F20" s="15" t="s">
        <v>89</v>
      </c>
      <c r="G20" s="15" t="s">
        <v>120</v>
      </c>
      <c r="H20" s="15" t="s">
        <v>91</v>
      </c>
      <c r="I20" s="15" t="s">
        <v>92</v>
      </c>
      <c r="J20" s="15" t="s">
        <v>214</v>
      </c>
      <c r="K20" s="16" t="s">
        <v>215</v>
      </c>
      <c r="L20" s="16" t="s">
        <v>239</v>
      </c>
      <c r="M20" s="16" t="s">
        <v>240</v>
      </c>
      <c r="N20" s="15" t="s">
        <v>195</v>
      </c>
      <c r="O20" s="15" t="s">
        <v>98</v>
      </c>
      <c r="P20" s="15" t="s">
        <v>186</v>
      </c>
      <c r="Q20" s="15"/>
      <c r="R20" s="15" t="s">
        <v>241</v>
      </c>
      <c r="S20" s="15" t="str">
        <f>HYPERLINK("http://shopweb.tjgdyf.com:8090/snapshot/G_62/D_1311/p_772/20200911112747.jpg","查看图片")</f>
        <v>查看图片</v>
      </c>
      <c r="T20" s="15" t="str">
        <f>HYPERLINK("http://ovopark.oss-cn-hangzhou.aliyuncs.com/2128_654642718880079_IMG_20200924_171146.jpg","查看图片")</f>
        <v>查看图片</v>
      </c>
      <c r="U20" s="15" t="s">
        <v>7</v>
      </c>
      <c r="V20" s="15" t="s">
        <v>242</v>
      </c>
      <c r="W20" s="13" t="s">
        <v>137</v>
      </c>
      <c r="X20" s="13" t="s">
        <v>197</v>
      </c>
    </row>
    <row r="21" customHeight="1" spans="1:24">
      <c r="A21" s="15" t="s">
        <v>243</v>
      </c>
      <c r="B21" s="15" t="s">
        <v>21</v>
      </c>
      <c r="C21" s="15" t="s">
        <v>221</v>
      </c>
      <c r="D21" s="15" t="s">
        <v>222</v>
      </c>
      <c r="E21" s="15" t="s">
        <v>89</v>
      </c>
      <c r="F21" s="15" t="s">
        <v>89</v>
      </c>
      <c r="G21" s="15" t="s">
        <v>120</v>
      </c>
      <c r="H21" s="15" t="s">
        <v>91</v>
      </c>
      <c r="I21" s="15" t="s">
        <v>92</v>
      </c>
      <c r="J21" s="15" t="s">
        <v>155</v>
      </c>
      <c r="K21" s="16" t="s">
        <v>156</v>
      </c>
      <c r="L21" s="16" t="s">
        <v>244</v>
      </c>
      <c r="M21" s="16" t="s">
        <v>245</v>
      </c>
      <c r="N21" s="15" t="s">
        <v>195</v>
      </c>
      <c r="O21" s="15" t="s">
        <v>98</v>
      </c>
      <c r="P21" s="15" t="s">
        <v>186</v>
      </c>
      <c r="Q21" s="15"/>
      <c r="R21" s="15" t="s">
        <v>127</v>
      </c>
      <c r="S21" s="15" t="s">
        <v>114</v>
      </c>
      <c r="T21" s="15" t="s">
        <v>114</v>
      </c>
      <c r="U21" s="15" t="s">
        <v>7</v>
      </c>
      <c r="V21" s="15" t="s">
        <v>246</v>
      </c>
      <c r="W21" s="13" t="s">
        <v>137</v>
      </c>
      <c r="X21" s="13" t="s">
        <v>197</v>
      </c>
    </row>
    <row r="22" customHeight="1" spans="1:24">
      <c r="A22" s="15" t="s">
        <v>247</v>
      </c>
      <c r="B22" s="15" t="s">
        <v>21</v>
      </c>
      <c r="C22" s="15" t="s">
        <v>221</v>
      </c>
      <c r="D22" s="15" t="s">
        <v>222</v>
      </c>
      <c r="E22" s="15" t="s">
        <v>89</v>
      </c>
      <c r="F22" s="15" t="s">
        <v>89</v>
      </c>
      <c r="G22" s="15" t="s">
        <v>120</v>
      </c>
      <c r="H22" s="15" t="s">
        <v>91</v>
      </c>
      <c r="I22" s="15" t="s">
        <v>92</v>
      </c>
      <c r="J22" s="15" t="s">
        <v>155</v>
      </c>
      <c r="K22" s="16" t="s">
        <v>156</v>
      </c>
      <c r="L22" s="16" t="s">
        <v>248</v>
      </c>
      <c r="M22" s="16" t="s">
        <v>249</v>
      </c>
      <c r="N22" s="15" t="s">
        <v>195</v>
      </c>
      <c r="O22" s="15" t="s">
        <v>98</v>
      </c>
      <c r="P22" s="15" t="s">
        <v>186</v>
      </c>
      <c r="Q22" s="15"/>
      <c r="R22" s="15" t="s">
        <v>127</v>
      </c>
      <c r="S22" s="15" t="s">
        <v>114</v>
      </c>
      <c r="T22" s="15" t="s">
        <v>114</v>
      </c>
      <c r="U22" s="15" t="s">
        <v>7</v>
      </c>
      <c r="V22" s="15" t="s">
        <v>250</v>
      </c>
      <c r="W22" s="13" t="s">
        <v>137</v>
      </c>
      <c r="X22" s="13" t="s">
        <v>197</v>
      </c>
    </row>
    <row r="23" customHeight="1" spans="1:24">
      <c r="A23" s="15" t="s">
        <v>251</v>
      </c>
      <c r="B23" s="15" t="s">
        <v>21</v>
      </c>
      <c r="C23" s="15" t="s">
        <v>221</v>
      </c>
      <c r="D23" s="15" t="s">
        <v>222</v>
      </c>
      <c r="E23" s="15" t="s">
        <v>89</v>
      </c>
      <c r="F23" s="15" t="s">
        <v>89</v>
      </c>
      <c r="G23" s="15" t="s">
        <v>120</v>
      </c>
      <c r="H23" s="15" t="s">
        <v>91</v>
      </c>
      <c r="I23" s="15" t="s">
        <v>92</v>
      </c>
      <c r="J23" s="15" t="s">
        <v>155</v>
      </c>
      <c r="K23" s="16" t="s">
        <v>156</v>
      </c>
      <c r="L23" s="16" t="s">
        <v>252</v>
      </c>
      <c r="M23" s="16" t="s">
        <v>253</v>
      </c>
      <c r="N23" s="15" t="s">
        <v>195</v>
      </c>
      <c r="O23" s="15" t="s">
        <v>98</v>
      </c>
      <c r="P23" s="15" t="s">
        <v>186</v>
      </c>
      <c r="Q23" s="15"/>
      <c r="R23" s="15" t="s">
        <v>127</v>
      </c>
      <c r="S23" s="15" t="s">
        <v>114</v>
      </c>
      <c r="T23" s="15" t="s">
        <v>114</v>
      </c>
      <c r="U23" s="15" t="s">
        <v>7</v>
      </c>
      <c r="V23" s="15" t="s">
        <v>254</v>
      </c>
      <c r="W23" s="13" t="s">
        <v>137</v>
      </c>
      <c r="X23" s="13" t="s">
        <v>197</v>
      </c>
    </row>
    <row r="24" customHeight="1" spans="1:24">
      <c r="A24" s="15" t="s">
        <v>255</v>
      </c>
      <c r="B24" s="15" t="s">
        <v>21</v>
      </c>
      <c r="C24" s="15" t="s">
        <v>221</v>
      </c>
      <c r="D24" s="15" t="s">
        <v>222</v>
      </c>
      <c r="E24" s="15" t="s">
        <v>89</v>
      </c>
      <c r="F24" s="15" t="s">
        <v>89</v>
      </c>
      <c r="G24" s="15" t="s">
        <v>120</v>
      </c>
      <c r="H24" s="15" t="s">
        <v>91</v>
      </c>
      <c r="I24" s="15" t="s">
        <v>92</v>
      </c>
      <c r="J24" s="15" t="s">
        <v>155</v>
      </c>
      <c r="K24" s="16" t="s">
        <v>156</v>
      </c>
      <c r="L24" s="16" t="s">
        <v>256</v>
      </c>
      <c r="M24" s="16" t="s">
        <v>257</v>
      </c>
      <c r="N24" s="15" t="s">
        <v>195</v>
      </c>
      <c r="O24" s="15" t="s">
        <v>98</v>
      </c>
      <c r="P24" s="15" t="s">
        <v>186</v>
      </c>
      <c r="Q24" s="15"/>
      <c r="R24" s="15" t="s">
        <v>127</v>
      </c>
      <c r="S24" s="15" t="s">
        <v>114</v>
      </c>
      <c r="T24" s="15" t="s">
        <v>114</v>
      </c>
      <c r="U24" s="15" t="s">
        <v>7</v>
      </c>
      <c r="V24" s="15" t="s">
        <v>258</v>
      </c>
      <c r="W24" s="13" t="s">
        <v>137</v>
      </c>
      <c r="X24" s="13" t="s">
        <v>197</v>
      </c>
    </row>
    <row r="25" customHeight="1" spans="1:24">
      <c r="A25" s="15" t="s">
        <v>259</v>
      </c>
      <c r="B25" s="15" t="s">
        <v>21</v>
      </c>
      <c r="C25" s="15" t="s">
        <v>221</v>
      </c>
      <c r="D25" s="15" t="s">
        <v>222</v>
      </c>
      <c r="E25" s="15" t="s">
        <v>89</v>
      </c>
      <c r="F25" s="15" t="s">
        <v>89</v>
      </c>
      <c r="G25" s="15" t="s">
        <v>120</v>
      </c>
      <c r="H25" s="15" t="s">
        <v>91</v>
      </c>
      <c r="I25" s="15" t="s">
        <v>92</v>
      </c>
      <c r="J25" s="15" t="s">
        <v>155</v>
      </c>
      <c r="K25" s="16" t="s">
        <v>156</v>
      </c>
      <c r="L25" s="16" t="s">
        <v>260</v>
      </c>
      <c r="M25" s="16" t="s">
        <v>261</v>
      </c>
      <c r="N25" s="15" t="s">
        <v>195</v>
      </c>
      <c r="O25" s="15" t="s">
        <v>98</v>
      </c>
      <c r="P25" s="15" t="s">
        <v>186</v>
      </c>
      <c r="Q25" s="15"/>
      <c r="R25" s="15" t="s">
        <v>127</v>
      </c>
      <c r="S25" s="15" t="s">
        <v>114</v>
      </c>
      <c r="T25" s="15" t="s">
        <v>114</v>
      </c>
      <c r="U25" s="15" t="s">
        <v>7</v>
      </c>
      <c r="V25" s="15" t="s">
        <v>262</v>
      </c>
      <c r="W25" s="13" t="s">
        <v>137</v>
      </c>
      <c r="X25" s="13" t="s">
        <v>197</v>
      </c>
    </row>
    <row r="26" customHeight="1" spans="1:24">
      <c r="A26" s="15" t="s">
        <v>263</v>
      </c>
      <c r="B26" s="15" t="s">
        <v>26</v>
      </c>
      <c r="C26" s="15" t="s">
        <v>221</v>
      </c>
      <c r="D26" s="15" t="s">
        <v>222</v>
      </c>
      <c r="E26" s="15" t="s">
        <v>89</v>
      </c>
      <c r="F26" s="15" t="s">
        <v>89</v>
      </c>
      <c r="G26" s="15" t="s">
        <v>120</v>
      </c>
      <c r="H26" s="15" t="s">
        <v>91</v>
      </c>
      <c r="I26" s="15" t="s">
        <v>92</v>
      </c>
      <c r="J26" s="15" t="s">
        <v>264</v>
      </c>
      <c r="K26" s="16" t="s">
        <v>265</v>
      </c>
      <c r="L26" s="16" t="s">
        <v>266</v>
      </c>
      <c r="M26" s="16" t="s">
        <v>267</v>
      </c>
      <c r="N26" s="15" t="s">
        <v>185</v>
      </c>
      <c r="O26" s="15" t="s">
        <v>98</v>
      </c>
      <c r="P26" s="15" t="s">
        <v>186</v>
      </c>
      <c r="Q26" s="15"/>
      <c r="R26" s="15" t="s">
        <v>268</v>
      </c>
      <c r="S26" s="15" t="s">
        <v>114</v>
      </c>
      <c r="T26" s="15" t="str">
        <f>HYPERLINK("http://ovopark.oss-cn-hangzhou.aliyuncs.com/2050_186542532510537_image_1600934442712.jpg","查看图片")</f>
        <v>查看图片</v>
      </c>
      <c r="U26" s="15" t="s">
        <v>7</v>
      </c>
      <c r="V26" s="15" t="s">
        <v>269</v>
      </c>
      <c r="W26" s="13" t="s">
        <v>137</v>
      </c>
      <c r="X26" s="13" t="s">
        <v>188</v>
      </c>
    </row>
    <row r="27" customHeight="1" spans="1:24">
      <c r="A27" s="15" t="s">
        <v>270</v>
      </c>
      <c r="B27" s="15" t="s">
        <v>26</v>
      </c>
      <c r="C27" s="15" t="s">
        <v>221</v>
      </c>
      <c r="D27" s="15" t="s">
        <v>222</v>
      </c>
      <c r="E27" s="15" t="s">
        <v>89</v>
      </c>
      <c r="F27" s="15" t="s">
        <v>89</v>
      </c>
      <c r="G27" s="15" t="s">
        <v>120</v>
      </c>
      <c r="H27" s="15" t="s">
        <v>91</v>
      </c>
      <c r="I27" s="15" t="s">
        <v>92</v>
      </c>
      <c r="J27" s="15" t="s">
        <v>264</v>
      </c>
      <c r="K27" s="16" t="s">
        <v>265</v>
      </c>
      <c r="L27" s="16" t="s">
        <v>271</v>
      </c>
      <c r="M27" s="16" t="s">
        <v>272</v>
      </c>
      <c r="N27" s="15" t="s">
        <v>185</v>
      </c>
      <c r="O27" s="15" t="s">
        <v>98</v>
      </c>
      <c r="P27" s="15" t="s">
        <v>186</v>
      </c>
      <c r="Q27" s="15"/>
      <c r="R27" s="15" t="s">
        <v>268</v>
      </c>
      <c r="S27" s="15" t="s">
        <v>114</v>
      </c>
      <c r="T27" s="15" t="str">
        <f>HYPERLINK("http://ovopark.oss-cn-hangzhou.aliyuncs.com/2050_186559067846299_image_1600934459466.jpg","查看图片")</f>
        <v>查看图片</v>
      </c>
      <c r="U27" s="15" t="s">
        <v>7</v>
      </c>
      <c r="V27" s="15" t="s">
        <v>273</v>
      </c>
      <c r="W27" s="13" t="s">
        <v>137</v>
      </c>
      <c r="X27" s="13" t="s">
        <v>188</v>
      </c>
    </row>
    <row r="28" customHeight="1" spans="1:24">
      <c r="A28" s="15" t="s">
        <v>274</v>
      </c>
      <c r="B28" s="15" t="s">
        <v>26</v>
      </c>
      <c r="C28" s="15" t="s">
        <v>221</v>
      </c>
      <c r="D28" s="15" t="s">
        <v>222</v>
      </c>
      <c r="E28" s="15" t="s">
        <v>89</v>
      </c>
      <c r="F28" s="15" t="s">
        <v>89</v>
      </c>
      <c r="G28" s="15" t="s">
        <v>120</v>
      </c>
      <c r="H28" s="15" t="s">
        <v>91</v>
      </c>
      <c r="I28" s="15" t="s">
        <v>92</v>
      </c>
      <c r="J28" s="15" t="s">
        <v>264</v>
      </c>
      <c r="K28" s="16" t="s">
        <v>265</v>
      </c>
      <c r="L28" s="16" t="s">
        <v>275</v>
      </c>
      <c r="M28" s="16" t="s">
        <v>276</v>
      </c>
      <c r="N28" s="15" t="s">
        <v>185</v>
      </c>
      <c r="O28" s="15" t="s">
        <v>98</v>
      </c>
      <c r="P28" s="15" t="s">
        <v>186</v>
      </c>
      <c r="Q28" s="15"/>
      <c r="R28" s="15" t="s">
        <v>268</v>
      </c>
      <c r="S28" s="15" t="s">
        <v>114</v>
      </c>
      <c r="T28" s="15" t="str">
        <f>HYPERLINK("http://ovopark.oss-cn-hangzhou.aliyuncs.com/2050_186587639644770_image_1600934481049.jpg","查看图片")</f>
        <v>查看图片</v>
      </c>
      <c r="U28" s="15" t="s">
        <v>7</v>
      </c>
      <c r="V28" s="15" t="s">
        <v>277</v>
      </c>
      <c r="W28" s="13" t="s">
        <v>137</v>
      </c>
      <c r="X28" s="13" t="s">
        <v>188</v>
      </c>
    </row>
    <row r="29" customHeight="1" spans="1:24">
      <c r="A29" s="15" t="s">
        <v>278</v>
      </c>
      <c r="B29" s="15" t="s">
        <v>26</v>
      </c>
      <c r="C29" s="15" t="s">
        <v>221</v>
      </c>
      <c r="D29" s="15" t="s">
        <v>222</v>
      </c>
      <c r="E29" s="15" t="s">
        <v>89</v>
      </c>
      <c r="F29" s="15" t="s">
        <v>89</v>
      </c>
      <c r="G29" s="15" t="s">
        <v>120</v>
      </c>
      <c r="H29" s="15" t="s">
        <v>91</v>
      </c>
      <c r="I29" s="15" t="s">
        <v>92</v>
      </c>
      <c r="J29" s="15" t="s">
        <v>264</v>
      </c>
      <c r="K29" s="16" t="s">
        <v>265</v>
      </c>
      <c r="L29" s="16" t="s">
        <v>279</v>
      </c>
      <c r="M29" s="16" t="s">
        <v>280</v>
      </c>
      <c r="N29" s="15" t="s">
        <v>185</v>
      </c>
      <c r="O29" s="15" t="s">
        <v>98</v>
      </c>
      <c r="P29" s="15" t="s">
        <v>186</v>
      </c>
      <c r="Q29" s="15"/>
      <c r="R29" s="15" t="s">
        <v>268</v>
      </c>
      <c r="S29" s="15" t="s">
        <v>114</v>
      </c>
      <c r="T29" s="15" t="str">
        <f>HYPERLINK("http://ovopark.oss-cn-hangzhou.aliyuncs.com/2050_186603971304939_image_1600934504332.jpg","查看图片")</f>
        <v>查看图片</v>
      </c>
      <c r="U29" s="15" t="s">
        <v>7</v>
      </c>
      <c r="V29" s="15" t="s">
        <v>281</v>
      </c>
      <c r="W29" s="13" t="s">
        <v>137</v>
      </c>
      <c r="X29" s="13" t="s">
        <v>188</v>
      </c>
    </row>
    <row r="30" customHeight="1" spans="1:24">
      <c r="A30" s="15" t="s">
        <v>282</v>
      </c>
      <c r="B30" s="15" t="s">
        <v>26</v>
      </c>
      <c r="C30" s="15" t="s">
        <v>190</v>
      </c>
      <c r="D30" s="15" t="s">
        <v>283</v>
      </c>
      <c r="E30" s="15" t="s">
        <v>154</v>
      </c>
      <c r="F30" s="15" t="s">
        <v>89</v>
      </c>
      <c r="G30" s="15" t="s">
        <v>120</v>
      </c>
      <c r="H30" s="15" t="s">
        <v>91</v>
      </c>
      <c r="I30" s="15" t="s">
        <v>92</v>
      </c>
      <c r="J30" s="15" t="s">
        <v>181</v>
      </c>
      <c r="K30" s="16" t="s">
        <v>182</v>
      </c>
      <c r="L30" s="16" t="s">
        <v>284</v>
      </c>
      <c r="M30" s="16" t="s">
        <v>285</v>
      </c>
      <c r="N30" s="15" t="s">
        <v>185</v>
      </c>
      <c r="O30" s="15" t="s">
        <v>98</v>
      </c>
      <c r="P30" s="15" t="s">
        <v>186</v>
      </c>
      <c r="Q30" s="15"/>
      <c r="R30" s="15" t="s">
        <v>127</v>
      </c>
      <c r="S30" s="15" t="str">
        <f>HYPERLINK("http://shopweb.tjgdyf.com:8090/snapshot/G_62/D_1306/p_1029/20200915145125.jpg","查看图片")</f>
        <v>查看图片</v>
      </c>
      <c r="T30" s="15" t="str">
        <f>HYPERLINK("http://ovopark.oss-cn-hangzhou.aliyuncs.com/2050_186650103861149_image_1600934550473.jpg","查看图片")</f>
        <v>查看图片</v>
      </c>
      <c r="U30" s="15" t="s">
        <v>7</v>
      </c>
      <c r="V30" s="15" t="s">
        <v>286</v>
      </c>
      <c r="W30" s="13" t="s">
        <v>137</v>
      </c>
      <c r="X30" s="13" t="s">
        <v>188</v>
      </c>
    </row>
    <row r="31" customHeight="1" spans="1:24">
      <c r="A31" s="15" t="s">
        <v>287</v>
      </c>
      <c r="B31" s="15" t="s">
        <v>26</v>
      </c>
      <c r="C31" s="15" t="s">
        <v>190</v>
      </c>
      <c r="D31" s="15" t="s">
        <v>191</v>
      </c>
      <c r="E31" s="15" t="s">
        <v>154</v>
      </c>
      <c r="F31" s="15" t="s">
        <v>89</v>
      </c>
      <c r="G31" s="15" t="s">
        <v>120</v>
      </c>
      <c r="H31" s="15" t="s">
        <v>91</v>
      </c>
      <c r="I31" s="15" t="s">
        <v>92</v>
      </c>
      <c r="J31" s="15" t="s">
        <v>181</v>
      </c>
      <c r="K31" s="16" t="s">
        <v>182</v>
      </c>
      <c r="L31" s="16" t="s">
        <v>288</v>
      </c>
      <c r="M31" s="16" t="s">
        <v>289</v>
      </c>
      <c r="N31" s="15" t="s">
        <v>185</v>
      </c>
      <c r="O31" s="15" t="s">
        <v>98</v>
      </c>
      <c r="P31" s="15" t="s">
        <v>186</v>
      </c>
      <c r="Q31" s="15"/>
      <c r="R31" s="15" t="s">
        <v>290</v>
      </c>
      <c r="S31" s="15" t="str">
        <f>HYPERLINK("http://shopweb.tjgdyf.com:8090/snapshot/G_62/D_1306/p_1031/20200915145143.jpg","查看图片")</f>
        <v>查看图片</v>
      </c>
      <c r="T31" s="15" t="str">
        <f>HYPERLINK("http://ovopark.oss-cn-hangzhou.aliyuncs.com/2050_186724037929660_image_1600934624436.jpg","查看图片")</f>
        <v>查看图片</v>
      </c>
      <c r="U31" s="15" t="s">
        <v>7</v>
      </c>
      <c r="V31" s="15" t="s">
        <v>291</v>
      </c>
      <c r="W31" s="13" t="s">
        <v>137</v>
      </c>
      <c r="X31" s="13" t="s">
        <v>188</v>
      </c>
    </row>
    <row r="32" customHeight="1" spans="1:24">
      <c r="A32" s="15" t="s">
        <v>292</v>
      </c>
      <c r="B32" s="15" t="s">
        <v>26</v>
      </c>
      <c r="C32" s="15" t="s">
        <v>190</v>
      </c>
      <c r="D32" s="15" t="s">
        <v>191</v>
      </c>
      <c r="E32" s="15" t="s">
        <v>154</v>
      </c>
      <c r="F32" s="15" t="s">
        <v>89</v>
      </c>
      <c r="G32" s="15" t="s">
        <v>120</v>
      </c>
      <c r="H32" s="15" t="s">
        <v>91</v>
      </c>
      <c r="I32" s="15" t="s">
        <v>92</v>
      </c>
      <c r="J32" s="15" t="s">
        <v>181</v>
      </c>
      <c r="K32" s="16" t="s">
        <v>182</v>
      </c>
      <c r="L32" s="16" t="s">
        <v>293</v>
      </c>
      <c r="M32" s="16" t="s">
        <v>294</v>
      </c>
      <c r="N32" s="15" t="s">
        <v>185</v>
      </c>
      <c r="O32" s="15" t="s">
        <v>98</v>
      </c>
      <c r="P32" s="15" t="s">
        <v>186</v>
      </c>
      <c r="Q32" s="15"/>
      <c r="R32" s="15" t="s">
        <v>295</v>
      </c>
      <c r="S32" s="15" t="str">
        <f>HYPERLINK("http://shopweb.tjgdyf.com:8090/snapshot/G_62/D_1306/p_1028/20200915145205.jpg","查看图片")</f>
        <v>查看图片</v>
      </c>
      <c r="T32" s="15" t="str">
        <f>HYPERLINK("http://ovopark.oss-cn-hangzhou.aliyuncs.com/2050_186752839680237_image_1600934653353.jpg","查看图片")</f>
        <v>查看图片</v>
      </c>
      <c r="U32" s="15" t="s">
        <v>7</v>
      </c>
      <c r="V32" s="15" t="s">
        <v>296</v>
      </c>
      <c r="W32" s="13" t="s">
        <v>137</v>
      </c>
      <c r="X32" s="13" t="s">
        <v>188</v>
      </c>
    </row>
    <row r="33" customHeight="1" spans="1:24">
      <c r="A33" s="15" t="s">
        <v>297</v>
      </c>
      <c r="B33" s="15" t="s">
        <v>26</v>
      </c>
      <c r="C33" s="15" t="s">
        <v>221</v>
      </c>
      <c r="D33" s="15" t="s">
        <v>222</v>
      </c>
      <c r="E33" s="15" t="s">
        <v>89</v>
      </c>
      <c r="F33" s="15" t="s">
        <v>89</v>
      </c>
      <c r="G33" s="15" t="s">
        <v>120</v>
      </c>
      <c r="H33" s="15" t="s">
        <v>91</v>
      </c>
      <c r="I33" s="15" t="s">
        <v>92</v>
      </c>
      <c r="J33" s="15" t="s">
        <v>155</v>
      </c>
      <c r="K33" s="16" t="s">
        <v>156</v>
      </c>
      <c r="L33" s="16" t="s">
        <v>298</v>
      </c>
      <c r="M33" s="16" t="s">
        <v>299</v>
      </c>
      <c r="N33" s="15" t="s">
        <v>185</v>
      </c>
      <c r="O33" s="15" t="s">
        <v>98</v>
      </c>
      <c r="P33" s="15" t="s">
        <v>186</v>
      </c>
      <c r="Q33" s="15"/>
      <c r="R33" s="15" t="s">
        <v>127</v>
      </c>
      <c r="S33" s="15" t="s">
        <v>114</v>
      </c>
      <c r="T33" s="15" t="str">
        <f>HYPERLINK("http://ovopark.oss-cn-hangzhou.aliyuncs.com/2050_187488506834253_image_1600935499984.jpg","查看图片")</f>
        <v>查看图片</v>
      </c>
      <c r="U33" s="15" t="s">
        <v>7</v>
      </c>
      <c r="V33" s="15" t="s">
        <v>300</v>
      </c>
      <c r="W33" s="13" t="s">
        <v>137</v>
      </c>
      <c r="X33" s="13" t="s">
        <v>188</v>
      </c>
    </row>
    <row r="34" customHeight="1" spans="1:24">
      <c r="A34" s="15" t="s">
        <v>301</v>
      </c>
      <c r="B34" s="15" t="s">
        <v>26</v>
      </c>
      <c r="C34" s="15" t="s">
        <v>221</v>
      </c>
      <c r="D34" s="15" t="s">
        <v>222</v>
      </c>
      <c r="E34" s="15" t="s">
        <v>89</v>
      </c>
      <c r="F34" s="15" t="s">
        <v>89</v>
      </c>
      <c r="G34" s="15" t="s">
        <v>120</v>
      </c>
      <c r="H34" s="15" t="s">
        <v>91</v>
      </c>
      <c r="I34" s="15" t="s">
        <v>92</v>
      </c>
      <c r="J34" s="15" t="s">
        <v>155</v>
      </c>
      <c r="K34" s="16" t="s">
        <v>156</v>
      </c>
      <c r="L34" s="16" t="s">
        <v>302</v>
      </c>
      <c r="M34" s="16" t="s">
        <v>303</v>
      </c>
      <c r="N34" s="15" t="s">
        <v>185</v>
      </c>
      <c r="O34" s="15" t="s">
        <v>98</v>
      </c>
      <c r="P34" s="15" t="s">
        <v>186</v>
      </c>
      <c r="Q34" s="15"/>
      <c r="R34" s="15" t="s">
        <v>127</v>
      </c>
      <c r="S34" s="15" t="s">
        <v>114</v>
      </c>
      <c r="T34" s="15" t="str">
        <f>HYPERLINK("http://ovopark.oss-cn-hangzhou.aliyuncs.com/2050_187502890786675_image_1600935514184.jpg","查看图片")</f>
        <v>查看图片</v>
      </c>
      <c r="U34" s="15" t="s">
        <v>7</v>
      </c>
      <c r="V34" s="15" t="s">
        <v>304</v>
      </c>
      <c r="W34" s="13" t="s">
        <v>137</v>
      </c>
      <c r="X34" s="13" t="s">
        <v>188</v>
      </c>
    </row>
    <row r="35" customHeight="1" spans="1:24">
      <c r="A35" s="15" t="s">
        <v>305</v>
      </c>
      <c r="B35" s="15" t="s">
        <v>26</v>
      </c>
      <c r="C35" s="15" t="s">
        <v>221</v>
      </c>
      <c r="D35" s="15" t="s">
        <v>222</v>
      </c>
      <c r="E35" s="15" t="s">
        <v>89</v>
      </c>
      <c r="F35" s="15" t="s">
        <v>89</v>
      </c>
      <c r="G35" s="15" t="s">
        <v>120</v>
      </c>
      <c r="H35" s="15" t="s">
        <v>91</v>
      </c>
      <c r="I35" s="15" t="s">
        <v>92</v>
      </c>
      <c r="J35" s="15" t="s">
        <v>155</v>
      </c>
      <c r="K35" s="16" t="s">
        <v>156</v>
      </c>
      <c r="L35" s="16" t="s">
        <v>306</v>
      </c>
      <c r="M35" s="16" t="s">
        <v>307</v>
      </c>
      <c r="N35" s="15" t="s">
        <v>185</v>
      </c>
      <c r="O35" s="15" t="s">
        <v>98</v>
      </c>
      <c r="P35" s="15" t="s">
        <v>186</v>
      </c>
      <c r="Q35" s="15"/>
      <c r="R35" s="15" t="s">
        <v>127</v>
      </c>
      <c r="S35" s="15" t="s">
        <v>114</v>
      </c>
      <c r="T35" s="15" t="str">
        <f>HYPERLINK("http://ovopark.oss-cn-hangzhou.aliyuncs.com/2050_187518872625923_image_1600935530226.jpg","查看图片")</f>
        <v>查看图片</v>
      </c>
      <c r="U35" s="15" t="s">
        <v>7</v>
      </c>
      <c r="V35" s="15" t="s">
        <v>308</v>
      </c>
      <c r="W35" s="13" t="s">
        <v>137</v>
      </c>
      <c r="X35" s="13" t="s">
        <v>188</v>
      </c>
    </row>
    <row r="36" customHeight="1" spans="1:24">
      <c r="A36" s="15" t="s">
        <v>309</v>
      </c>
      <c r="B36" s="15" t="s">
        <v>26</v>
      </c>
      <c r="C36" s="15" t="s">
        <v>221</v>
      </c>
      <c r="D36" s="15" t="s">
        <v>222</v>
      </c>
      <c r="E36" s="15" t="s">
        <v>89</v>
      </c>
      <c r="F36" s="15" t="s">
        <v>89</v>
      </c>
      <c r="G36" s="15" t="s">
        <v>120</v>
      </c>
      <c r="H36" s="15" t="s">
        <v>91</v>
      </c>
      <c r="I36" s="15" t="s">
        <v>92</v>
      </c>
      <c r="J36" s="15" t="s">
        <v>155</v>
      </c>
      <c r="K36" s="16" t="s">
        <v>156</v>
      </c>
      <c r="L36" s="16" t="s">
        <v>310</v>
      </c>
      <c r="M36" s="16" t="s">
        <v>311</v>
      </c>
      <c r="N36" s="15" t="s">
        <v>185</v>
      </c>
      <c r="O36" s="15" t="s">
        <v>98</v>
      </c>
      <c r="P36" s="15" t="s">
        <v>186</v>
      </c>
      <c r="Q36" s="15"/>
      <c r="R36" s="15" t="s">
        <v>127</v>
      </c>
      <c r="S36" s="15" t="s">
        <v>114</v>
      </c>
      <c r="T36" s="15" t="str">
        <f>HYPERLINK("http://ovopark.oss-cn-hangzhou.aliyuncs.com/2050_187533090789892_image_1600935544618.jpg","查看图片")</f>
        <v>查看图片</v>
      </c>
      <c r="U36" s="15" t="s">
        <v>7</v>
      </c>
      <c r="V36" s="15" t="s">
        <v>312</v>
      </c>
      <c r="W36" s="13" t="s">
        <v>137</v>
      </c>
      <c r="X36" s="13" t="s">
        <v>188</v>
      </c>
    </row>
    <row r="37" customHeight="1" spans="1:24">
      <c r="A37" s="15" t="s">
        <v>313</v>
      </c>
      <c r="B37" s="15" t="s">
        <v>26</v>
      </c>
      <c r="C37" s="15" t="s">
        <v>221</v>
      </c>
      <c r="D37" s="15" t="s">
        <v>222</v>
      </c>
      <c r="E37" s="15" t="s">
        <v>89</v>
      </c>
      <c r="F37" s="15" t="s">
        <v>89</v>
      </c>
      <c r="G37" s="15" t="s">
        <v>120</v>
      </c>
      <c r="H37" s="15" t="s">
        <v>91</v>
      </c>
      <c r="I37" s="15" t="s">
        <v>92</v>
      </c>
      <c r="J37" s="15" t="s">
        <v>155</v>
      </c>
      <c r="K37" s="16" t="s">
        <v>156</v>
      </c>
      <c r="L37" s="16" t="s">
        <v>314</v>
      </c>
      <c r="M37" s="16" t="s">
        <v>315</v>
      </c>
      <c r="N37" s="15" t="s">
        <v>185</v>
      </c>
      <c r="O37" s="15" t="s">
        <v>98</v>
      </c>
      <c r="P37" s="15" t="s">
        <v>186</v>
      </c>
      <c r="Q37" s="15"/>
      <c r="R37" s="15" t="s">
        <v>127</v>
      </c>
      <c r="S37" s="15" t="s">
        <v>114</v>
      </c>
      <c r="T37" s="15" t="str">
        <f>HYPERLINK("http://ovopark.oss-cn-hangzhou.aliyuncs.com/2050_187555806578353_image_1600935567133.jpg","查看图片")</f>
        <v>查看图片</v>
      </c>
      <c r="U37" s="15" t="s">
        <v>7</v>
      </c>
      <c r="V37" s="15" t="s">
        <v>316</v>
      </c>
      <c r="W37" s="13" t="s">
        <v>137</v>
      </c>
      <c r="X37" s="13" t="s">
        <v>188</v>
      </c>
    </row>
    <row r="38" customHeight="1" spans="1:24">
      <c r="A38" s="15" t="s">
        <v>317</v>
      </c>
      <c r="B38" s="15" t="s">
        <v>26</v>
      </c>
      <c r="C38" s="15" t="s">
        <v>221</v>
      </c>
      <c r="D38" s="15" t="s">
        <v>222</v>
      </c>
      <c r="E38" s="15" t="s">
        <v>89</v>
      </c>
      <c r="F38" s="15" t="s">
        <v>89</v>
      </c>
      <c r="G38" s="15" t="s">
        <v>120</v>
      </c>
      <c r="H38" s="15" t="s">
        <v>91</v>
      </c>
      <c r="I38" s="15" t="s">
        <v>92</v>
      </c>
      <c r="J38" s="15" t="s">
        <v>155</v>
      </c>
      <c r="K38" s="16" t="s">
        <v>156</v>
      </c>
      <c r="L38" s="16" t="s">
        <v>318</v>
      </c>
      <c r="M38" s="16" t="s">
        <v>319</v>
      </c>
      <c r="N38" s="15" t="s">
        <v>185</v>
      </c>
      <c r="O38" s="15" t="s">
        <v>98</v>
      </c>
      <c r="P38" s="15" t="s">
        <v>186</v>
      </c>
      <c r="Q38" s="15"/>
      <c r="R38" s="15" t="s">
        <v>127</v>
      </c>
      <c r="S38" s="15" t="s">
        <v>114</v>
      </c>
      <c r="T38" s="15" t="str">
        <f>HYPERLINK("http://ovopark.oss-cn-hangzhou.aliyuncs.com/2050_187574265416025_image_1600935585676.jpg","查看图片")</f>
        <v>查看图片</v>
      </c>
      <c r="U38" s="15" t="s">
        <v>7</v>
      </c>
      <c r="V38" s="15" t="s">
        <v>320</v>
      </c>
      <c r="W38" s="13" t="s">
        <v>137</v>
      </c>
      <c r="X38" s="13" t="s">
        <v>188</v>
      </c>
    </row>
    <row r="39" customHeight="1" spans="1:24">
      <c r="A39" s="15" t="s">
        <v>321</v>
      </c>
      <c r="B39" s="15" t="s">
        <v>26</v>
      </c>
      <c r="C39" s="15" t="s">
        <v>212</v>
      </c>
      <c r="D39" s="15" t="s">
        <v>322</v>
      </c>
      <c r="E39" s="15" t="s">
        <v>154</v>
      </c>
      <c r="F39" s="15" t="s">
        <v>89</v>
      </c>
      <c r="G39" s="15" t="s">
        <v>120</v>
      </c>
      <c r="H39" s="15" t="s">
        <v>91</v>
      </c>
      <c r="I39" s="15" t="s">
        <v>92</v>
      </c>
      <c r="J39" s="15" t="s">
        <v>181</v>
      </c>
      <c r="K39" s="16" t="s">
        <v>182</v>
      </c>
      <c r="L39" s="16" t="s">
        <v>323</v>
      </c>
      <c r="M39" s="16" t="s">
        <v>324</v>
      </c>
      <c r="N39" s="15" t="s">
        <v>185</v>
      </c>
      <c r="O39" s="15" t="s">
        <v>98</v>
      </c>
      <c r="P39" s="15" t="s">
        <v>186</v>
      </c>
      <c r="Q39" s="15"/>
      <c r="R39" s="15" t="s">
        <v>127</v>
      </c>
      <c r="S39" s="15" t="str">
        <f>HYPERLINK("http://ovopark.oss-cn-hangzhou.aliyuncs.com/1970_80023649989508_compress_80024025388518_image_1600163474832.jpg?x-oss-process=image/resize,w_700,l_700","查看图片")</f>
        <v>查看图片</v>
      </c>
      <c r="T39" s="15" t="str">
        <f>HYPERLINK("http://ovopark.oss-cn-hangzhou.aliyuncs.com/2050_187666708053932_image_1600935677931.jpg","查看图片")</f>
        <v>查看图片</v>
      </c>
      <c r="U39" s="15" t="s">
        <v>15</v>
      </c>
      <c r="V39" s="15" t="s">
        <v>325</v>
      </c>
      <c r="W39" s="13" t="s">
        <v>137</v>
      </c>
      <c r="X39" s="13" t="s">
        <v>188</v>
      </c>
    </row>
    <row r="40" customHeight="1" spans="1:24">
      <c r="A40" s="15" t="s">
        <v>326</v>
      </c>
      <c r="B40" s="15" t="s">
        <v>21</v>
      </c>
      <c r="C40" s="15" t="s">
        <v>212</v>
      </c>
      <c r="D40" s="15" t="s">
        <v>322</v>
      </c>
      <c r="E40" s="15" t="s">
        <v>154</v>
      </c>
      <c r="F40" s="15" t="s">
        <v>89</v>
      </c>
      <c r="G40" s="15" t="s">
        <v>120</v>
      </c>
      <c r="H40" s="15" t="s">
        <v>91</v>
      </c>
      <c r="I40" s="15" t="s">
        <v>92</v>
      </c>
      <c r="J40" s="15" t="s">
        <v>182</v>
      </c>
      <c r="K40" s="16" t="s">
        <v>192</v>
      </c>
      <c r="L40" s="16" t="s">
        <v>327</v>
      </c>
      <c r="M40" s="16" t="s">
        <v>328</v>
      </c>
      <c r="N40" s="15" t="s">
        <v>195</v>
      </c>
      <c r="O40" s="15" t="s">
        <v>98</v>
      </c>
      <c r="P40" s="15" t="s">
        <v>186</v>
      </c>
      <c r="Q40" s="15"/>
      <c r="R40" s="15" t="s">
        <v>127</v>
      </c>
      <c r="S40" s="15" t="str">
        <f>HYPERLINK("http://shopweb.tjgdyf.com:8090/snapshot/G_62/D_1311/p_760/20200918163316.jpg","查看图片")</f>
        <v>查看图片</v>
      </c>
      <c r="T40" s="15" t="str">
        <f>HYPERLINK("http://ovopark.oss-cn-hangzhou.aliyuncs.com/2128_652655795676736_image_1600936000521.jpg","查看图片")</f>
        <v>查看图片</v>
      </c>
      <c r="U40" s="15" t="s">
        <v>7</v>
      </c>
      <c r="V40" s="15" t="s">
        <v>329</v>
      </c>
      <c r="W40" s="13" t="s">
        <v>137</v>
      </c>
      <c r="X40" s="13" t="s">
        <v>197</v>
      </c>
    </row>
    <row r="41" customHeight="1" spans="1:24">
      <c r="A41" s="15" t="s">
        <v>330</v>
      </c>
      <c r="B41" s="15" t="s">
        <v>28</v>
      </c>
      <c r="C41" s="15" t="s">
        <v>190</v>
      </c>
      <c r="D41" s="15" t="s">
        <v>191</v>
      </c>
      <c r="E41" s="15" t="s">
        <v>154</v>
      </c>
      <c r="F41" s="15" t="s">
        <v>89</v>
      </c>
      <c r="G41" s="15" t="s">
        <v>120</v>
      </c>
      <c r="H41" s="15" t="s">
        <v>91</v>
      </c>
      <c r="I41" s="15" t="s">
        <v>92</v>
      </c>
      <c r="J41" s="15" t="s">
        <v>155</v>
      </c>
      <c r="K41" s="16" t="s">
        <v>156</v>
      </c>
      <c r="L41" s="16" t="s">
        <v>331</v>
      </c>
      <c r="M41" s="16" t="s">
        <v>332</v>
      </c>
      <c r="N41" s="15" t="s">
        <v>333</v>
      </c>
      <c r="O41" s="15" t="s">
        <v>98</v>
      </c>
      <c r="P41" s="15" t="s">
        <v>186</v>
      </c>
      <c r="Q41" s="15"/>
      <c r="R41" s="15" t="s">
        <v>127</v>
      </c>
      <c r="S41" s="15" t="str">
        <f>HYPERLINK("http://shopweb.tjgdyf.com:8090/snapshot/G_62/D_1308/p_1048/20200917134608.jpg","查看图片")</f>
        <v>查看图片</v>
      </c>
      <c r="T41" s="15" t="str">
        <f>HYPERLINK("http://ovopark.oss-cn-hangzhou.aliyuncs.com/2039_136219015186303_image_1600936680932.jpg","查看图片")</f>
        <v>查看图片</v>
      </c>
      <c r="U41" s="15" t="s">
        <v>7</v>
      </c>
      <c r="V41" s="15" t="s">
        <v>334</v>
      </c>
      <c r="W41" s="13" t="s">
        <v>137</v>
      </c>
      <c r="X41" s="13" t="s">
        <v>335</v>
      </c>
    </row>
    <row r="42" customHeight="1" spans="1:24">
      <c r="A42" s="15" t="s">
        <v>336</v>
      </c>
      <c r="B42" s="15" t="s">
        <v>26</v>
      </c>
      <c r="C42" s="15" t="s">
        <v>337</v>
      </c>
      <c r="D42" s="15" t="s">
        <v>338</v>
      </c>
      <c r="E42" s="15" t="s">
        <v>119</v>
      </c>
      <c r="F42" s="15" t="s">
        <v>89</v>
      </c>
      <c r="G42" s="15" t="s">
        <v>120</v>
      </c>
      <c r="H42" s="15" t="s">
        <v>91</v>
      </c>
      <c r="I42" s="15" t="s">
        <v>92</v>
      </c>
      <c r="J42" s="15" t="s">
        <v>181</v>
      </c>
      <c r="K42" s="16" t="s">
        <v>182</v>
      </c>
      <c r="L42" s="16" t="s">
        <v>339</v>
      </c>
      <c r="M42" s="16" t="s">
        <v>340</v>
      </c>
      <c r="N42" s="15" t="s">
        <v>185</v>
      </c>
      <c r="O42" s="15" t="s">
        <v>98</v>
      </c>
      <c r="P42" s="15" t="s">
        <v>186</v>
      </c>
      <c r="Q42" s="15"/>
      <c r="R42" s="15" t="s">
        <v>127</v>
      </c>
      <c r="S42" s="15" t="str">
        <f>HYPERLINK("http://ovopark.oss-cn-hangzhou.aliyuncs.com/1970_79586081207592_compress_79588233887851_image_1600163050019.jpg?x-oss-process=image/resize,w_700,l_700","查看图片")</f>
        <v>查看图片</v>
      </c>
      <c r="T42" s="15" t="str">
        <f>HYPERLINK("http://ovopark.oss-cn-hangzhou.aliyuncs.com/2050_188754148893042_image_1600936765714.jpg","查看图片")</f>
        <v>查看图片</v>
      </c>
      <c r="U42" s="15" t="s">
        <v>15</v>
      </c>
      <c r="V42" s="15" t="s">
        <v>341</v>
      </c>
      <c r="W42" s="13" t="s">
        <v>137</v>
      </c>
      <c r="X42" s="13" t="s">
        <v>188</v>
      </c>
    </row>
    <row r="43" customHeight="1" spans="1:24">
      <c r="A43" s="15" t="s">
        <v>342</v>
      </c>
      <c r="B43" s="15" t="s">
        <v>26</v>
      </c>
      <c r="C43" s="15" t="s">
        <v>190</v>
      </c>
      <c r="D43" s="15" t="s">
        <v>191</v>
      </c>
      <c r="E43" s="15" t="s">
        <v>154</v>
      </c>
      <c r="F43" s="15" t="s">
        <v>89</v>
      </c>
      <c r="G43" s="15" t="s">
        <v>120</v>
      </c>
      <c r="H43" s="15" t="s">
        <v>91</v>
      </c>
      <c r="I43" s="15" t="s">
        <v>92</v>
      </c>
      <c r="J43" s="15" t="s">
        <v>181</v>
      </c>
      <c r="K43" s="16" t="s">
        <v>182</v>
      </c>
      <c r="L43" s="16" t="s">
        <v>343</v>
      </c>
      <c r="M43" s="16" t="s">
        <v>344</v>
      </c>
      <c r="N43" s="15" t="s">
        <v>185</v>
      </c>
      <c r="O43" s="15" t="s">
        <v>98</v>
      </c>
      <c r="P43" s="15" t="s">
        <v>186</v>
      </c>
      <c r="Q43" s="15"/>
      <c r="R43" s="15" t="s">
        <v>295</v>
      </c>
      <c r="S43" s="15" t="str">
        <f>HYPERLINK("http://shopweb.tjgdyf.com:8090/snapshot/G_62/D_1306/p_1030/20200915145238.jpg","查看图片")</f>
        <v>查看图片</v>
      </c>
      <c r="T43" s="15" t="str">
        <f>HYPERLINK("http://ovopark.oss-cn-hangzhou.aliyuncs.com/2050_188775365055416_image_1600936785607.jpg","查看图片")</f>
        <v>查看图片</v>
      </c>
      <c r="U43" s="15" t="s">
        <v>7</v>
      </c>
      <c r="V43" s="15" t="s">
        <v>345</v>
      </c>
      <c r="W43" s="13" t="s">
        <v>137</v>
      </c>
      <c r="X43" s="13" t="s">
        <v>188</v>
      </c>
    </row>
    <row r="44" customHeight="1" spans="1:24">
      <c r="A44" s="15" t="s">
        <v>346</v>
      </c>
      <c r="B44" s="15" t="s">
        <v>48</v>
      </c>
      <c r="C44" s="15" t="s">
        <v>221</v>
      </c>
      <c r="D44" s="15" t="s">
        <v>222</v>
      </c>
      <c r="E44" s="15" t="s">
        <v>89</v>
      </c>
      <c r="F44" s="15" t="s">
        <v>89</v>
      </c>
      <c r="G44" s="15" t="s">
        <v>120</v>
      </c>
      <c r="H44" s="15" t="s">
        <v>91</v>
      </c>
      <c r="I44" s="15" t="s">
        <v>92</v>
      </c>
      <c r="J44" s="15" t="s">
        <v>144</v>
      </c>
      <c r="K44" s="16" t="s">
        <v>347</v>
      </c>
      <c r="L44" s="16" t="s">
        <v>348</v>
      </c>
      <c r="M44" s="16" t="s">
        <v>349</v>
      </c>
      <c r="N44" s="15" t="s">
        <v>350</v>
      </c>
      <c r="O44" s="15" t="s">
        <v>98</v>
      </c>
      <c r="P44" s="15" t="s">
        <v>351</v>
      </c>
      <c r="Q44" s="15"/>
      <c r="R44" s="15" t="s">
        <v>127</v>
      </c>
      <c r="S44" s="15" t="s">
        <v>114</v>
      </c>
      <c r="T44" s="15" t="str">
        <f>HYPERLINK("http://ovopark.oss-cn-hangzhou.aliyuncs.com/202009231556247615.jpeg","查看图片")</f>
        <v>查看图片</v>
      </c>
      <c r="U44" s="15" t="s">
        <v>7</v>
      </c>
      <c r="V44" s="15" t="s">
        <v>352</v>
      </c>
      <c r="W44" s="13" t="s">
        <v>137</v>
      </c>
      <c r="X44" s="13" t="s">
        <v>353</v>
      </c>
    </row>
    <row r="45" customHeight="1" spans="1:24">
      <c r="A45" s="15" t="s">
        <v>354</v>
      </c>
      <c r="B45" s="15" t="s">
        <v>48</v>
      </c>
      <c r="C45" s="15" t="s">
        <v>221</v>
      </c>
      <c r="D45" s="15" t="s">
        <v>222</v>
      </c>
      <c r="E45" s="15" t="s">
        <v>89</v>
      </c>
      <c r="F45" s="15" t="s">
        <v>89</v>
      </c>
      <c r="G45" s="15" t="s">
        <v>120</v>
      </c>
      <c r="H45" s="15" t="s">
        <v>91</v>
      </c>
      <c r="I45" s="15" t="s">
        <v>92</v>
      </c>
      <c r="J45" s="15" t="s">
        <v>144</v>
      </c>
      <c r="K45" s="16" t="s">
        <v>347</v>
      </c>
      <c r="L45" s="16" t="s">
        <v>355</v>
      </c>
      <c r="M45" s="16" t="s">
        <v>356</v>
      </c>
      <c r="N45" s="15" t="s">
        <v>350</v>
      </c>
      <c r="O45" s="15" t="s">
        <v>98</v>
      </c>
      <c r="P45" s="15" t="s">
        <v>351</v>
      </c>
      <c r="Q45" s="15"/>
      <c r="R45" s="15" t="s">
        <v>127</v>
      </c>
      <c r="S45" s="15" t="s">
        <v>114</v>
      </c>
      <c r="T45" s="15" t="str">
        <f>HYPERLINK("http://ovopark.oss-cn-hangzhou.aliyuncs.com/20200923155752146.jpeg","查看图片")</f>
        <v>查看图片</v>
      </c>
      <c r="U45" s="15" t="s">
        <v>7</v>
      </c>
      <c r="V45" s="15" t="s">
        <v>357</v>
      </c>
      <c r="W45" s="13" t="s">
        <v>137</v>
      </c>
      <c r="X45" s="13" t="s">
        <v>353</v>
      </c>
    </row>
    <row r="46" customHeight="1" spans="1:24">
      <c r="A46" s="15" t="s">
        <v>358</v>
      </c>
      <c r="B46" s="15" t="s">
        <v>48</v>
      </c>
      <c r="C46" s="15" t="s">
        <v>221</v>
      </c>
      <c r="D46" s="15" t="s">
        <v>222</v>
      </c>
      <c r="E46" s="15" t="s">
        <v>89</v>
      </c>
      <c r="F46" s="15" t="s">
        <v>89</v>
      </c>
      <c r="G46" s="15" t="s">
        <v>120</v>
      </c>
      <c r="H46" s="15" t="s">
        <v>91</v>
      </c>
      <c r="I46" s="15" t="s">
        <v>92</v>
      </c>
      <c r="J46" s="15" t="s">
        <v>144</v>
      </c>
      <c r="K46" s="16" t="s">
        <v>347</v>
      </c>
      <c r="L46" s="16" t="s">
        <v>359</v>
      </c>
      <c r="M46" s="16" t="s">
        <v>360</v>
      </c>
      <c r="N46" s="15" t="s">
        <v>350</v>
      </c>
      <c r="O46" s="15" t="s">
        <v>98</v>
      </c>
      <c r="P46" s="15" t="s">
        <v>351</v>
      </c>
      <c r="Q46" s="15"/>
      <c r="R46" s="15" t="s">
        <v>127</v>
      </c>
      <c r="S46" s="15" t="s">
        <v>114</v>
      </c>
      <c r="T46" s="15" t="str">
        <f>HYPERLINK("http://ovopark.oss-cn-hangzhou.aliyuncs.com/20200923155814761.jpeg","查看图片")</f>
        <v>查看图片</v>
      </c>
      <c r="U46" s="15" t="s">
        <v>7</v>
      </c>
      <c r="V46" s="15" t="s">
        <v>361</v>
      </c>
      <c r="W46" s="13" t="s">
        <v>137</v>
      </c>
      <c r="X46" s="13" t="s">
        <v>353</v>
      </c>
    </row>
    <row r="47" customHeight="1" spans="1:24">
      <c r="A47" s="15" t="s">
        <v>362</v>
      </c>
      <c r="B47" s="15" t="s">
        <v>48</v>
      </c>
      <c r="C47" s="15" t="s">
        <v>221</v>
      </c>
      <c r="D47" s="15" t="s">
        <v>222</v>
      </c>
      <c r="E47" s="15" t="s">
        <v>89</v>
      </c>
      <c r="F47" s="15" t="s">
        <v>89</v>
      </c>
      <c r="G47" s="15" t="s">
        <v>120</v>
      </c>
      <c r="H47" s="15" t="s">
        <v>91</v>
      </c>
      <c r="I47" s="15" t="s">
        <v>92</v>
      </c>
      <c r="J47" s="15" t="s">
        <v>144</v>
      </c>
      <c r="K47" s="16" t="s">
        <v>347</v>
      </c>
      <c r="L47" s="16" t="s">
        <v>363</v>
      </c>
      <c r="M47" s="16" t="s">
        <v>364</v>
      </c>
      <c r="N47" s="15" t="s">
        <v>350</v>
      </c>
      <c r="O47" s="15" t="s">
        <v>98</v>
      </c>
      <c r="P47" s="15" t="s">
        <v>351</v>
      </c>
      <c r="Q47" s="15"/>
      <c r="R47" s="15" t="s">
        <v>127</v>
      </c>
      <c r="S47" s="15" t="s">
        <v>114</v>
      </c>
      <c r="T47" s="15" t="str">
        <f>HYPERLINK("http://ovopark.oss-cn-hangzhou.aliyuncs.com/202009231558516359.jpeg","查看图片")</f>
        <v>查看图片</v>
      </c>
      <c r="U47" s="15" t="s">
        <v>7</v>
      </c>
      <c r="V47" s="15" t="s">
        <v>365</v>
      </c>
      <c r="W47" s="13" t="s">
        <v>137</v>
      </c>
      <c r="X47" s="13" t="s">
        <v>353</v>
      </c>
    </row>
    <row r="48" customHeight="1" spans="1:24">
      <c r="A48" s="15" t="s">
        <v>366</v>
      </c>
      <c r="B48" s="15" t="s">
        <v>48</v>
      </c>
      <c r="C48" s="15" t="s">
        <v>221</v>
      </c>
      <c r="D48" s="15" t="s">
        <v>222</v>
      </c>
      <c r="E48" s="15" t="s">
        <v>89</v>
      </c>
      <c r="F48" s="15" t="s">
        <v>89</v>
      </c>
      <c r="G48" s="15" t="s">
        <v>120</v>
      </c>
      <c r="H48" s="15" t="s">
        <v>91</v>
      </c>
      <c r="I48" s="15" t="s">
        <v>92</v>
      </c>
      <c r="J48" s="15" t="s">
        <v>144</v>
      </c>
      <c r="K48" s="16" t="s">
        <v>347</v>
      </c>
      <c r="L48" s="16" t="s">
        <v>367</v>
      </c>
      <c r="M48" s="16" t="s">
        <v>368</v>
      </c>
      <c r="N48" s="15" t="s">
        <v>350</v>
      </c>
      <c r="O48" s="15" t="s">
        <v>98</v>
      </c>
      <c r="P48" s="15" t="s">
        <v>351</v>
      </c>
      <c r="Q48" s="15"/>
      <c r="R48" s="15" t="s">
        <v>127</v>
      </c>
      <c r="S48" s="15" t="s">
        <v>114</v>
      </c>
      <c r="T48" s="15" t="str">
        <f>HYPERLINK("http://ovopark.oss-cn-hangzhou.aliyuncs.com/202009231559174944.jpeg","查看图片")</f>
        <v>查看图片</v>
      </c>
      <c r="U48" s="15" t="s">
        <v>7</v>
      </c>
      <c r="V48" s="15" t="s">
        <v>369</v>
      </c>
      <c r="W48" s="13" t="s">
        <v>137</v>
      </c>
      <c r="X48" s="13" t="s">
        <v>353</v>
      </c>
    </row>
    <row r="49" customHeight="1" spans="1:24">
      <c r="A49" s="15" t="s">
        <v>370</v>
      </c>
      <c r="B49" s="15" t="s">
        <v>48</v>
      </c>
      <c r="C49" s="15" t="s">
        <v>221</v>
      </c>
      <c r="D49" s="15" t="s">
        <v>222</v>
      </c>
      <c r="E49" s="15" t="s">
        <v>89</v>
      </c>
      <c r="F49" s="15" t="s">
        <v>89</v>
      </c>
      <c r="G49" s="15" t="s">
        <v>120</v>
      </c>
      <c r="H49" s="15" t="s">
        <v>91</v>
      </c>
      <c r="I49" s="15" t="s">
        <v>92</v>
      </c>
      <c r="J49" s="15" t="s">
        <v>144</v>
      </c>
      <c r="K49" s="16" t="s">
        <v>347</v>
      </c>
      <c r="L49" s="16" t="s">
        <v>371</v>
      </c>
      <c r="M49" s="16" t="s">
        <v>372</v>
      </c>
      <c r="N49" s="15" t="s">
        <v>350</v>
      </c>
      <c r="O49" s="15" t="s">
        <v>98</v>
      </c>
      <c r="P49" s="15" t="s">
        <v>351</v>
      </c>
      <c r="Q49" s="15"/>
      <c r="R49" s="15" t="s">
        <v>127</v>
      </c>
      <c r="S49" s="15" t="s">
        <v>114</v>
      </c>
      <c r="T49" s="15" t="str">
        <f>HYPERLINK("http://ovopark.oss-cn-hangzhou.aliyuncs.com/202009231612259092.jpeg","查看图片")</f>
        <v>查看图片</v>
      </c>
      <c r="U49" s="15" t="s">
        <v>7</v>
      </c>
      <c r="V49" s="15" t="s">
        <v>373</v>
      </c>
      <c r="W49" s="13" t="s">
        <v>137</v>
      </c>
      <c r="X49" s="13" t="s">
        <v>353</v>
      </c>
    </row>
    <row r="50" customHeight="1" spans="1:24">
      <c r="A50" s="15" t="s">
        <v>374</v>
      </c>
      <c r="B50" s="15" t="s">
        <v>48</v>
      </c>
      <c r="C50" s="15" t="s">
        <v>221</v>
      </c>
      <c r="D50" s="15" t="s">
        <v>222</v>
      </c>
      <c r="E50" s="15" t="s">
        <v>89</v>
      </c>
      <c r="F50" s="15" t="s">
        <v>89</v>
      </c>
      <c r="G50" s="15" t="s">
        <v>120</v>
      </c>
      <c r="H50" s="15" t="s">
        <v>91</v>
      </c>
      <c r="I50" s="15" t="s">
        <v>92</v>
      </c>
      <c r="J50" s="15" t="s">
        <v>170</v>
      </c>
      <c r="K50" s="16" t="s">
        <v>181</v>
      </c>
      <c r="L50" s="16" t="s">
        <v>375</v>
      </c>
      <c r="M50" s="16" t="s">
        <v>376</v>
      </c>
      <c r="N50" s="15" t="s">
        <v>350</v>
      </c>
      <c r="O50" s="15" t="s">
        <v>98</v>
      </c>
      <c r="P50" s="15" t="s">
        <v>351</v>
      </c>
      <c r="Q50" s="15"/>
      <c r="R50" s="15" t="s">
        <v>127</v>
      </c>
      <c r="S50" s="15" t="s">
        <v>114</v>
      </c>
      <c r="T50" s="15" t="str">
        <f>HYPERLINK("http://ovopark.oss-cn-hangzhou.aliyuncs.com/202009231612481808.jpeg","查看图片")</f>
        <v>查看图片</v>
      </c>
      <c r="U50" s="15" t="s">
        <v>7</v>
      </c>
      <c r="V50" s="15" t="s">
        <v>377</v>
      </c>
      <c r="W50" s="13" t="s">
        <v>137</v>
      </c>
      <c r="X50" s="13" t="s">
        <v>353</v>
      </c>
    </row>
    <row r="51" customHeight="1" spans="1:24">
      <c r="A51" s="15" t="s">
        <v>378</v>
      </c>
      <c r="B51" s="15" t="s">
        <v>48</v>
      </c>
      <c r="C51" s="15" t="s">
        <v>221</v>
      </c>
      <c r="D51" s="15" t="s">
        <v>222</v>
      </c>
      <c r="E51" s="15" t="s">
        <v>89</v>
      </c>
      <c r="F51" s="15" t="s">
        <v>89</v>
      </c>
      <c r="G51" s="15" t="s">
        <v>120</v>
      </c>
      <c r="H51" s="15" t="s">
        <v>91</v>
      </c>
      <c r="I51" s="15" t="s">
        <v>92</v>
      </c>
      <c r="J51" s="15" t="s">
        <v>170</v>
      </c>
      <c r="K51" s="16" t="s">
        <v>181</v>
      </c>
      <c r="L51" s="16" t="s">
        <v>379</v>
      </c>
      <c r="M51" s="16" t="s">
        <v>380</v>
      </c>
      <c r="N51" s="15" t="s">
        <v>350</v>
      </c>
      <c r="O51" s="15" t="s">
        <v>98</v>
      </c>
      <c r="P51" s="15" t="s">
        <v>351</v>
      </c>
      <c r="Q51" s="15"/>
      <c r="R51" s="15" t="s">
        <v>127</v>
      </c>
      <c r="S51" s="15" t="s">
        <v>114</v>
      </c>
      <c r="T51" s="15" t="str">
        <f>HYPERLINK("http://ovopark.oss-cn-hangzhou.aliyuncs.com/202009231613285824.jpeg","查看图片")</f>
        <v>查看图片</v>
      </c>
      <c r="U51" s="15" t="s">
        <v>7</v>
      </c>
      <c r="V51" s="15" t="s">
        <v>381</v>
      </c>
      <c r="W51" s="13" t="s">
        <v>137</v>
      </c>
      <c r="X51" s="13" t="s">
        <v>353</v>
      </c>
    </row>
    <row r="52" customHeight="1" spans="1:24">
      <c r="A52" s="15" t="s">
        <v>382</v>
      </c>
      <c r="B52" s="15" t="s">
        <v>48</v>
      </c>
      <c r="C52" s="15" t="s">
        <v>221</v>
      </c>
      <c r="D52" s="15" t="s">
        <v>222</v>
      </c>
      <c r="E52" s="15" t="s">
        <v>89</v>
      </c>
      <c r="F52" s="15" t="s">
        <v>89</v>
      </c>
      <c r="G52" s="15" t="s">
        <v>120</v>
      </c>
      <c r="H52" s="15" t="s">
        <v>91</v>
      </c>
      <c r="I52" s="15" t="s">
        <v>92</v>
      </c>
      <c r="J52" s="15" t="s">
        <v>170</v>
      </c>
      <c r="K52" s="16" t="s">
        <v>181</v>
      </c>
      <c r="L52" s="16" t="s">
        <v>383</v>
      </c>
      <c r="M52" s="16" t="s">
        <v>384</v>
      </c>
      <c r="N52" s="15" t="s">
        <v>350</v>
      </c>
      <c r="O52" s="15" t="s">
        <v>98</v>
      </c>
      <c r="P52" s="15" t="s">
        <v>351</v>
      </c>
      <c r="Q52" s="15"/>
      <c r="R52" s="15" t="s">
        <v>127</v>
      </c>
      <c r="S52" s="15" t="s">
        <v>114</v>
      </c>
      <c r="T52" s="15" t="str">
        <f>HYPERLINK("http://ovopark.oss-cn-hangzhou.aliyuncs.com/202009231613499385.jpeg","查看图片")</f>
        <v>查看图片</v>
      </c>
      <c r="U52" s="15" t="s">
        <v>7</v>
      </c>
      <c r="V52" s="15" t="s">
        <v>385</v>
      </c>
      <c r="W52" s="13" t="s">
        <v>137</v>
      </c>
      <c r="X52" s="13" t="s">
        <v>353</v>
      </c>
    </row>
    <row r="53" customHeight="1" spans="1:24">
      <c r="A53" s="15" t="s">
        <v>386</v>
      </c>
      <c r="B53" s="15" t="s">
        <v>48</v>
      </c>
      <c r="C53" s="15" t="s">
        <v>221</v>
      </c>
      <c r="D53" s="15" t="s">
        <v>222</v>
      </c>
      <c r="E53" s="15" t="s">
        <v>89</v>
      </c>
      <c r="F53" s="15" t="s">
        <v>89</v>
      </c>
      <c r="G53" s="15" t="s">
        <v>120</v>
      </c>
      <c r="H53" s="15" t="s">
        <v>91</v>
      </c>
      <c r="I53" s="15" t="s">
        <v>92</v>
      </c>
      <c r="J53" s="15" t="s">
        <v>170</v>
      </c>
      <c r="K53" s="16" t="s">
        <v>181</v>
      </c>
      <c r="L53" s="16" t="s">
        <v>387</v>
      </c>
      <c r="M53" s="16" t="s">
        <v>388</v>
      </c>
      <c r="N53" s="15" t="s">
        <v>350</v>
      </c>
      <c r="O53" s="15" t="s">
        <v>98</v>
      </c>
      <c r="P53" s="15" t="s">
        <v>351</v>
      </c>
      <c r="Q53" s="15"/>
      <c r="R53" s="15" t="s">
        <v>127</v>
      </c>
      <c r="S53" s="15" t="s">
        <v>114</v>
      </c>
      <c r="T53" s="15" t="str">
        <f>HYPERLINK("http://ovopark.oss-cn-hangzhou.aliyuncs.com/202009231614074797.jpeg","查看图片")</f>
        <v>查看图片</v>
      </c>
      <c r="U53" s="15" t="s">
        <v>7</v>
      </c>
      <c r="V53" s="15" t="s">
        <v>389</v>
      </c>
      <c r="W53" s="13" t="s">
        <v>137</v>
      </c>
      <c r="X53" s="13" t="s">
        <v>353</v>
      </c>
    </row>
    <row r="54" customHeight="1" spans="1:24">
      <c r="A54" s="15" t="s">
        <v>390</v>
      </c>
      <c r="B54" s="15" t="s">
        <v>48</v>
      </c>
      <c r="C54" s="15" t="s">
        <v>221</v>
      </c>
      <c r="D54" s="15" t="s">
        <v>222</v>
      </c>
      <c r="E54" s="15" t="s">
        <v>89</v>
      </c>
      <c r="F54" s="15" t="s">
        <v>89</v>
      </c>
      <c r="G54" s="15" t="s">
        <v>120</v>
      </c>
      <c r="H54" s="15" t="s">
        <v>91</v>
      </c>
      <c r="I54" s="15" t="s">
        <v>92</v>
      </c>
      <c r="J54" s="15" t="s">
        <v>170</v>
      </c>
      <c r="K54" s="16" t="s">
        <v>181</v>
      </c>
      <c r="L54" s="16" t="s">
        <v>391</v>
      </c>
      <c r="M54" s="16" t="s">
        <v>392</v>
      </c>
      <c r="N54" s="15" t="s">
        <v>350</v>
      </c>
      <c r="O54" s="15" t="s">
        <v>98</v>
      </c>
      <c r="P54" s="15" t="s">
        <v>351</v>
      </c>
      <c r="Q54" s="15"/>
      <c r="R54" s="15" t="s">
        <v>127</v>
      </c>
      <c r="S54" s="15" t="s">
        <v>114</v>
      </c>
      <c r="T54" s="15" t="str">
        <f>HYPERLINK("http://ovopark.oss-cn-hangzhou.aliyuncs.com/202009231614259310.jpeg","查看图片")</f>
        <v>查看图片</v>
      </c>
      <c r="U54" s="15" t="s">
        <v>7</v>
      </c>
      <c r="V54" s="15" t="s">
        <v>393</v>
      </c>
      <c r="W54" s="13" t="s">
        <v>137</v>
      </c>
      <c r="X54" s="13" t="s">
        <v>353</v>
      </c>
    </row>
    <row r="55" customHeight="1" spans="1:24">
      <c r="A55" s="15" t="s">
        <v>394</v>
      </c>
      <c r="B55" s="15" t="s">
        <v>48</v>
      </c>
      <c r="C55" s="15" t="s">
        <v>221</v>
      </c>
      <c r="D55" s="15" t="s">
        <v>222</v>
      </c>
      <c r="E55" s="15" t="s">
        <v>89</v>
      </c>
      <c r="F55" s="15" t="s">
        <v>89</v>
      </c>
      <c r="G55" s="15" t="s">
        <v>120</v>
      </c>
      <c r="H55" s="15" t="s">
        <v>91</v>
      </c>
      <c r="I55" s="15" t="s">
        <v>92</v>
      </c>
      <c r="J55" s="15" t="s">
        <v>170</v>
      </c>
      <c r="K55" s="16" t="s">
        <v>181</v>
      </c>
      <c r="L55" s="16" t="s">
        <v>395</v>
      </c>
      <c r="M55" s="16" t="s">
        <v>396</v>
      </c>
      <c r="N55" s="15" t="s">
        <v>350</v>
      </c>
      <c r="O55" s="15" t="s">
        <v>98</v>
      </c>
      <c r="P55" s="15" t="s">
        <v>351</v>
      </c>
      <c r="Q55" s="15"/>
      <c r="R55" s="15" t="s">
        <v>127</v>
      </c>
      <c r="S55" s="15" t="s">
        <v>114</v>
      </c>
      <c r="T55" s="15" t="str">
        <f>HYPERLINK("http://ovopark.oss-cn-hangzhou.aliyuncs.com/202009231614475889.jpeg","查看图片")</f>
        <v>查看图片</v>
      </c>
      <c r="U55" s="15" t="s">
        <v>7</v>
      </c>
      <c r="V55" s="15" t="s">
        <v>397</v>
      </c>
      <c r="W55" s="13" t="s">
        <v>137</v>
      </c>
      <c r="X55" s="13" t="s">
        <v>353</v>
      </c>
    </row>
    <row r="56" customHeight="1" spans="1:24">
      <c r="A56" s="15" t="s">
        <v>398</v>
      </c>
      <c r="B56" s="15" t="s">
        <v>26</v>
      </c>
      <c r="C56" s="15" t="s">
        <v>221</v>
      </c>
      <c r="D56" s="15" t="s">
        <v>222</v>
      </c>
      <c r="E56" s="15" t="s">
        <v>89</v>
      </c>
      <c r="F56" s="15" t="s">
        <v>89</v>
      </c>
      <c r="G56" s="15" t="s">
        <v>120</v>
      </c>
      <c r="H56" s="15" t="s">
        <v>91</v>
      </c>
      <c r="I56" s="15" t="s">
        <v>92</v>
      </c>
      <c r="J56" s="15" t="s">
        <v>264</v>
      </c>
      <c r="K56" s="16" t="s">
        <v>265</v>
      </c>
      <c r="L56" s="16" t="s">
        <v>399</v>
      </c>
      <c r="M56" s="16" t="s">
        <v>400</v>
      </c>
      <c r="N56" s="15" t="s">
        <v>185</v>
      </c>
      <c r="O56" s="15" t="s">
        <v>98</v>
      </c>
      <c r="P56" s="15" t="s">
        <v>186</v>
      </c>
      <c r="Q56" s="15"/>
      <c r="R56" s="15" t="s">
        <v>268</v>
      </c>
      <c r="S56" s="15" t="s">
        <v>114</v>
      </c>
      <c r="T56" s="15" t="str">
        <f>HYPERLINK("http://ovopark.oss-cn-hangzhou.aliyuncs.com/2050_186481386011946_image_1600934381315.jpg","查看图片")</f>
        <v>查看图片</v>
      </c>
      <c r="U56" s="15" t="s">
        <v>7</v>
      </c>
      <c r="V56" s="15" t="s">
        <v>401</v>
      </c>
      <c r="W56" s="13" t="s">
        <v>137</v>
      </c>
      <c r="X56" s="13" t="s">
        <v>188</v>
      </c>
    </row>
    <row r="57" customHeight="1" spans="1:24">
      <c r="A57" s="15" t="s">
        <v>402</v>
      </c>
      <c r="B57" s="15" t="s">
        <v>26</v>
      </c>
      <c r="C57" s="15" t="s">
        <v>221</v>
      </c>
      <c r="D57" s="15" t="s">
        <v>222</v>
      </c>
      <c r="E57" s="15" t="s">
        <v>89</v>
      </c>
      <c r="F57" s="15" t="s">
        <v>89</v>
      </c>
      <c r="G57" s="15" t="s">
        <v>120</v>
      </c>
      <c r="H57" s="15" t="s">
        <v>91</v>
      </c>
      <c r="I57" s="15" t="s">
        <v>92</v>
      </c>
      <c r="J57" s="15" t="s">
        <v>264</v>
      </c>
      <c r="K57" s="16" t="s">
        <v>265</v>
      </c>
      <c r="L57" s="16" t="s">
        <v>403</v>
      </c>
      <c r="M57" s="16" t="s">
        <v>404</v>
      </c>
      <c r="N57" s="15" t="s">
        <v>185</v>
      </c>
      <c r="O57" s="15" t="s">
        <v>98</v>
      </c>
      <c r="P57" s="15" t="s">
        <v>186</v>
      </c>
      <c r="Q57" s="15"/>
      <c r="R57" s="15" t="s">
        <v>268</v>
      </c>
      <c r="S57" s="15" t="s">
        <v>114</v>
      </c>
      <c r="T57" s="15" t="str">
        <f>HYPERLINK("http://ovopark.oss-cn-hangzhou.aliyuncs.com/2050_186514798761524_image_1600934415543.jpg","查看图片")</f>
        <v>查看图片</v>
      </c>
      <c r="U57" s="15" t="s">
        <v>7</v>
      </c>
      <c r="V57" s="15" t="s">
        <v>405</v>
      </c>
      <c r="W57" s="13" t="s">
        <v>137</v>
      </c>
      <c r="X57" s="13" t="s">
        <v>406</v>
      </c>
    </row>
    <row r="58" customHeight="1" spans="1:24">
      <c r="A58" s="15" t="s">
        <v>407</v>
      </c>
      <c r="B58" s="15" t="s">
        <v>30</v>
      </c>
      <c r="C58" s="15" t="s">
        <v>212</v>
      </c>
      <c r="D58" s="15" t="s">
        <v>408</v>
      </c>
      <c r="E58" s="15" t="s">
        <v>154</v>
      </c>
      <c r="F58" s="15" t="s">
        <v>89</v>
      </c>
      <c r="G58" s="15" t="s">
        <v>120</v>
      </c>
      <c r="H58" s="15" t="s">
        <v>91</v>
      </c>
      <c r="I58" s="15" t="s">
        <v>92</v>
      </c>
      <c r="J58" s="15" t="s">
        <v>264</v>
      </c>
      <c r="K58" s="16" t="s">
        <v>265</v>
      </c>
      <c r="L58" s="16" t="s">
        <v>409</v>
      </c>
      <c r="M58" s="16" t="s">
        <v>410</v>
      </c>
      <c r="N58" s="15" t="s">
        <v>411</v>
      </c>
      <c r="O58" s="15" t="s">
        <v>98</v>
      </c>
      <c r="P58" s="15" t="s">
        <v>186</v>
      </c>
      <c r="Q58" s="15"/>
      <c r="R58" s="15" t="s">
        <v>127</v>
      </c>
      <c r="S58" s="15" t="str">
        <f>HYPERLINK("http://ovopark.oss-cn-hangzhou.aliyuncs.com/1970_183975282281822_compress_183975384184947_image_1599702952455.jpg?x-oss-process=image/resize,w_700,l_700","查看图片")</f>
        <v>查看图片</v>
      </c>
      <c r="T58" s="15" t="s">
        <v>114</v>
      </c>
      <c r="U58" s="15" t="s">
        <v>15</v>
      </c>
      <c r="V58" s="15" t="s">
        <v>412</v>
      </c>
      <c r="W58" s="13" t="s">
        <v>137</v>
      </c>
      <c r="X58" s="13" t="s">
        <v>411</v>
      </c>
    </row>
    <row r="59" customHeight="1" spans="1:24">
      <c r="A59" s="15" t="s">
        <v>413</v>
      </c>
      <c r="B59" s="15" t="s">
        <v>30</v>
      </c>
      <c r="C59" s="15" t="s">
        <v>212</v>
      </c>
      <c r="D59" s="15" t="s">
        <v>414</v>
      </c>
      <c r="E59" s="15" t="s">
        <v>154</v>
      </c>
      <c r="F59" s="15" t="s">
        <v>89</v>
      </c>
      <c r="G59" s="15" t="s">
        <v>120</v>
      </c>
      <c r="H59" s="15" t="s">
        <v>91</v>
      </c>
      <c r="I59" s="15" t="s">
        <v>92</v>
      </c>
      <c r="J59" s="15" t="s">
        <v>264</v>
      </c>
      <c r="K59" s="16" t="s">
        <v>265</v>
      </c>
      <c r="L59" s="16" t="s">
        <v>415</v>
      </c>
      <c r="M59" s="16" t="s">
        <v>416</v>
      </c>
      <c r="N59" s="15" t="s">
        <v>411</v>
      </c>
      <c r="O59" s="15" t="s">
        <v>98</v>
      </c>
      <c r="P59" s="15" t="s">
        <v>186</v>
      </c>
      <c r="Q59" s="15"/>
      <c r="R59" s="15" t="s">
        <v>417</v>
      </c>
      <c r="S59" s="15" t="str">
        <f>HYPERLINK("http://ovopark.oss-cn-hangzhou.aliyuncs.com/1970_184498028340597_compress_184498139424972_image_1599703463719.jpg?x-oss-process=image/resize,w_700,l_700","查看图片")</f>
        <v>查看图片</v>
      </c>
      <c r="T59" s="15" t="s">
        <v>114</v>
      </c>
      <c r="U59" s="15" t="s">
        <v>15</v>
      </c>
      <c r="V59" s="15" t="s">
        <v>418</v>
      </c>
      <c r="W59" s="13" t="s">
        <v>137</v>
      </c>
      <c r="X59" s="13" t="s">
        <v>411</v>
      </c>
    </row>
    <row r="60" customHeight="1" spans="1:24">
      <c r="A60" s="15" t="s">
        <v>419</v>
      </c>
      <c r="B60" s="15" t="s">
        <v>18</v>
      </c>
      <c r="C60" s="15" t="s">
        <v>337</v>
      </c>
      <c r="D60" s="15" t="s">
        <v>338</v>
      </c>
      <c r="E60" s="15" t="s">
        <v>119</v>
      </c>
      <c r="F60" s="15" t="s">
        <v>89</v>
      </c>
      <c r="G60" s="15" t="s">
        <v>120</v>
      </c>
      <c r="H60" s="15" t="s">
        <v>91</v>
      </c>
      <c r="I60" s="15" t="s">
        <v>92</v>
      </c>
      <c r="J60" s="15" t="s">
        <v>156</v>
      </c>
      <c r="K60" s="16" t="s">
        <v>420</v>
      </c>
      <c r="L60" s="16" t="s">
        <v>421</v>
      </c>
      <c r="M60" s="16" t="s">
        <v>422</v>
      </c>
      <c r="N60" s="15" t="s">
        <v>423</v>
      </c>
      <c r="O60" s="15" t="s">
        <v>98</v>
      </c>
      <c r="P60" s="15" t="s">
        <v>186</v>
      </c>
      <c r="Q60" s="15"/>
      <c r="R60" s="15" t="s">
        <v>127</v>
      </c>
      <c r="S60" s="15" t="str">
        <f>HYPERLINK("http://ovopark.oss-cn-hangzhou.aliyuncs.com/1970_174506484498490_compress_174518835229058_image_1600582708166.jpg?x-oss-process=image/resize,w_700,l_700","查看图片")</f>
        <v>查看图片</v>
      </c>
      <c r="T60" s="15" t="str">
        <f>HYPERLINK("http://ovopark.oss-cn-hangzhou.aliyuncs.com/2261_5902021088158_IMG_20200923_103708.jpg","查看图片")</f>
        <v>查看图片</v>
      </c>
      <c r="U60" s="15" t="s">
        <v>15</v>
      </c>
      <c r="V60" s="15" t="s">
        <v>424</v>
      </c>
      <c r="W60" s="13" t="s">
        <v>102</v>
      </c>
      <c r="X60" s="13" t="s">
        <v>6</v>
      </c>
    </row>
    <row r="61" customHeight="1" spans="1:24">
      <c r="A61" s="15" t="s">
        <v>425</v>
      </c>
      <c r="B61" s="15" t="s">
        <v>18</v>
      </c>
      <c r="C61" s="15" t="s">
        <v>426</v>
      </c>
      <c r="D61" s="15" t="s">
        <v>427</v>
      </c>
      <c r="E61" s="15" t="s">
        <v>428</v>
      </c>
      <c r="F61" s="15" t="s">
        <v>89</v>
      </c>
      <c r="G61" s="15" t="s">
        <v>120</v>
      </c>
      <c r="H61" s="15" t="s">
        <v>91</v>
      </c>
      <c r="I61" s="15" t="s">
        <v>92</v>
      </c>
      <c r="J61" s="15" t="s">
        <v>156</v>
      </c>
      <c r="K61" s="16" t="s">
        <v>420</v>
      </c>
      <c r="L61" s="16" t="s">
        <v>429</v>
      </c>
      <c r="M61" s="16" t="s">
        <v>430</v>
      </c>
      <c r="N61" s="15" t="s">
        <v>423</v>
      </c>
      <c r="O61" s="15" t="s">
        <v>98</v>
      </c>
      <c r="P61" s="15" t="s">
        <v>186</v>
      </c>
      <c r="Q61" s="15"/>
      <c r="R61" s="15" t="s">
        <v>431</v>
      </c>
      <c r="S61" s="15" t="str">
        <f>HYPERLINK("http://ovopark.oss-cn-hangzhou.aliyuncs.com/1970_174186360419758_compress_174186628601008_image_1600582466093.jpg?x-oss-process=image/resize,w_700,l_700","查看图片")</f>
        <v>查看图片</v>
      </c>
      <c r="T61" s="15" t="str">
        <f>HYPERLINK("http://ovopark.oss-cn-hangzhou.aliyuncs.com/2261_6013483152335_image_1600830720636.jpg","查看图片")</f>
        <v>查看图片</v>
      </c>
      <c r="U61" s="15" t="s">
        <v>15</v>
      </c>
      <c r="V61" s="15" t="s">
        <v>432</v>
      </c>
      <c r="W61" s="13" t="s">
        <v>102</v>
      </c>
      <c r="X61" s="13" t="s">
        <v>6</v>
      </c>
    </row>
    <row r="62" customHeight="1" spans="1:24">
      <c r="A62" s="15" t="s">
        <v>433</v>
      </c>
      <c r="B62" s="15" t="s">
        <v>18</v>
      </c>
      <c r="C62" s="15" t="s">
        <v>434</v>
      </c>
      <c r="D62" s="15" t="s">
        <v>435</v>
      </c>
      <c r="E62" s="15" t="s">
        <v>119</v>
      </c>
      <c r="F62" s="15" t="s">
        <v>89</v>
      </c>
      <c r="G62" s="15" t="s">
        <v>120</v>
      </c>
      <c r="H62" s="15" t="s">
        <v>91</v>
      </c>
      <c r="I62" s="15" t="s">
        <v>92</v>
      </c>
      <c r="J62" s="15" t="s">
        <v>156</v>
      </c>
      <c r="K62" s="16" t="s">
        <v>420</v>
      </c>
      <c r="L62" s="16" t="s">
        <v>436</v>
      </c>
      <c r="M62" s="16" t="s">
        <v>437</v>
      </c>
      <c r="N62" s="15" t="s">
        <v>423</v>
      </c>
      <c r="O62" s="15" t="s">
        <v>98</v>
      </c>
      <c r="P62" s="15" t="s">
        <v>186</v>
      </c>
      <c r="Q62" s="15"/>
      <c r="R62" s="15" t="s">
        <v>438</v>
      </c>
      <c r="S62" s="15" t="s">
        <v>114</v>
      </c>
      <c r="T62" s="15" t="str">
        <f>HYPERLINK("http://ovopark.oss-cn-hangzhou.aliyuncs.com/2261_6083128172971_image_1600830790253.jpg","查看图片")</f>
        <v>查看图片</v>
      </c>
      <c r="U62" s="15" t="s">
        <v>15</v>
      </c>
      <c r="V62" s="15" t="s">
        <v>439</v>
      </c>
      <c r="W62" s="13" t="s">
        <v>102</v>
      </c>
      <c r="X62" s="13" t="s">
        <v>6</v>
      </c>
    </row>
    <row r="63" customHeight="1" spans="1:24">
      <c r="A63" s="15" t="s">
        <v>440</v>
      </c>
      <c r="B63" s="15" t="s">
        <v>28</v>
      </c>
      <c r="C63" s="15" t="s">
        <v>221</v>
      </c>
      <c r="D63" s="15" t="s">
        <v>222</v>
      </c>
      <c r="E63" s="15" t="s">
        <v>89</v>
      </c>
      <c r="F63" s="15" t="s">
        <v>89</v>
      </c>
      <c r="G63" s="15" t="s">
        <v>120</v>
      </c>
      <c r="H63" s="15" t="s">
        <v>91</v>
      </c>
      <c r="I63" s="15" t="s">
        <v>92</v>
      </c>
      <c r="J63" s="15" t="s">
        <v>155</v>
      </c>
      <c r="K63" s="16" t="s">
        <v>156</v>
      </c>
      <c r="L63" s="16" t="s">
        <v>441</v>
      </c>
      <c r="M63" s="16" t="s">
        <v>442</v>
      </c>
      <c r="N63" s="15" t="s">
        <v>333</v>
      </c>
      <c r="O63" s="15" t="s">
        <v>98</v>
      </c>
      <c r="P63" s="15" t="s">
        <v>186</v>
      </c>
      <c r="Q63" s="15"/>
      <c r="R63" s="15" t="s">
        <v>127</v>
      </c>
      <c r="S63" s="15" t="s">
        <v>114</v>
      </c>
      <c r="T63" s="15" t="str">
        <f>HYPERLINK("http://ovopark.oss-cn-hangzhou.aliyuncs.com/2039_116909064456002_image_1600851216714.jpg","查看图片")</f>
        <v>查看图片</v>
      </c>
      <c r="U63" s="15" t="s">
        <v>7</v>
      </c>
      <c r="V63" s="15" t="s">
        <v>443</v>
      </c>
      <c r="W63" s="13" t="s">
        <v>137</v>
      </c>
      <c r="X63" s="13" t="s">
        <v>335</v>
      </c>
    </row>
    <row r="64" customHeight="1" spans="1:24">
      <c r="A64" s="15" t="s">
        <v>444</v>
      </c>
      <c r="B64" s="15" t="s">
        <v>28</v>
      </c>
      <c r="C64" s="15" t="s">
        <v>221</v>
      </c>
      <c r="D64" s="15" t="s">
        <v>222</v>
      </c>
      <c r="E64" s="15" t="s">
        <v>89</v>
      </c>
      <c r="F64" s="15" t="s">
        <v>89</v>
      </c>
      <c r="G64" s="15" t="s">
        <v>120</v>
      </c>
      <c r="H64" s="15" t="s">
        <v>91</v>
      </c>
      <c r="I64" s="15" t="s">
        <v>92</v>
      </c>
      <c r="J64" s="15" t="s">
        <v>155</v>
      </c>
      <c r="K64" s="16" t="s">
        <v>156</v>
      </c>
      <c r="L64" s="16" t="s">
        <v>445</v>
      </c>
      <c r="M64" s="16" t="s">
        <v>446</v>
      </c>
      <c r="N64" s="15" t="s">
        <v>333</v>
      </c>
      <c r="O64" s="15" t="s">
        <v>98</v>
      </c>
      <c r="P64" s="15" t="s">
        <v>186</v>
      </c>
      <c r="Q64" s="15"/>
      <c r="R64" s="15" t="s">
        <v>127</v>
      </c>
      <c r="S64" s="15" t="s">
        <v>114</v>
      </c>
      <c r="T64" s="15" t="str">
        <f>HYPERLINK("http://ovopark.oss-cn-hangzhou.aliyuncs.com/2039_116930244387904_image_1600851232946.jpg","查看图片")</f>
        <v>查看图片</v>
      </c>
      <c r="U64" s="15" t="s">
        <v>7</v>
      </c>
      <c r="V64" s="15" t="s">
        <v>447</v>
      </c>
      <c r="W64" s="13" t="s">
        <v>137</v>
      </c>
      <c r="X64" s="13" t="s">
        <v>335</v>
      </c>
    </row>
    <row r="65" customHeight="1" spans="1:24">
      <c r="A65" s="15" t="s">
        <v>448</v>
      </c>
      <c r="B65" s="15" t="s">
        <v>28</v>
      </c>
      <c r="C65" s="15" t="s">
        <v>221</v>
      </c>
      <c r="D65" s="15" t="s">
        <v>222</v>
      </c>
      <c r="E65" s="15" t="s">
        <v>89</v>
      </c>
      <c r="F65" s="15" t="s">
        <v>89</v>
      </c>
      <c r="G65" s="15" t="s">
        <v>120</v>
      </c>
      <c r="H65" s="15" t="s">
        <v>91</v>
      </c>
      <c r="I65" s="15" t="s">
        <v>92</v>
      </c>
      <c r="J65" s="15" t="s">
        <v>155</v>
      </c>
      <c r="K65" s="16" t="s">
        <v>156</v>
      </c>
      <c r="L65" s="16" t="s">
        <v>449</v>
      </c>
      <c r="M65" s="16" t="s">
        <v>450</v>
      </c>
      <c r="N65" s="15" t="s">
        <v>333</v>
      </c>
      <c r="O65" s="15" t="s">
        <v>98</v>
      </c>
      <c r="P65" s="15" t="s">
        <v>186</v>
      </c>
      <c r="Q65" s="15"/>
      <c r="R65" s="15" t="s">
        <v>127</v>
      </c>
      <c r="S65" s="15" t="s">
        <v>114</v>
      </c>
      <c r="T65" s="15" t="str">
        <f>HYPERLINK("http://ovopark.oss-cn-hangzhou.aliyuncs.com/2039_116950811430317_image_1600851254582.jpg","查看图片")</f>
        <v>查看图片</v>
      </c>
      <c r="U65" s="15" t="s">
        <v>7</v>
      </c>
      <c r="V65" s="15" t="s">
        <v>451</v>
      </c>
      <c r="W65" s="13" t="s">
        <v>137</v>
      </c>
      <c r="X65" s="13" t="s">
        <v>335</v>
      </c>
    </row>
    <row r="66" customHeight="1" spans="1:24">
      <c r="A66" s="15" t="s">
        <v>452</v>
      </c>
      <c r="B66" s="15" t="s">
        <v>28</v>
      </c>
      <c r="C66" s="15" t="s">
        <v>221</v>
      </c>
      <c r="D66" s="15" t="s">
        <v>222</v>
      </c>
      <c r="E66" s="15" t="s">
        <v>89</v>
      </c>
      <c r="F66" s="15" t="s">
        <v>89</v>
      </c>
      <c r="G66" s="15" t="s">
        <v>120</v>
      </c>
      <c r="H66" s="15" t="s">
        <v>91</v>
      </c>
      <c r="I66" s="15" t="s">
        <v>92</v>
      </c>
      <c r="J66" s="15" t="s">
        <v>155</v>
      </c>
      <c r="K66" s="16" t="s">
        <v>156</v>
      </c>
      <c r="L66" s="16" t="s">
        <v>453</v>
      </c>
      <c r="M66" s="16" t="s">
        <v>454</v>
      </c>
      <c r="N66" s="15" t="s">
        <v>333</v>
      </c>
      <c r="O66" s="15" t="s">
        <v>98</v>
      </c>
      <c r="P66" s="15" t="s">
        <v>186</v>
      </c>
      <c r="Q66" s="15"/>
      <c r="R66" s="15" t="s">
        <v>127</v>
      </c>
      <c r="S66" s="15" t="s">
        <v>114</v>
      </c>
      <c r="T66" s="15" t="str">
        <f>HYPERLINK("http://ovopark.oss-cn-hangzhou.aliyuncs.com/2039_116980876997114_image_1600851289680.jpg","查看图片")</f>
        <v>查看图片</v>
      </c>
      <c r="U66" s="15" t="s">
        <v>7</v>
      </c>
      <c r="V66" s="15" t="s">
        <v>455</v>
      </c>
      <c r="W66" s="13" t="s">
        <v>137</v>
      </c>
      <c r="X66" s="13" t="s">
        <v>335</v>
      </c>
    </row>
    <row r="67" customHeight="1" spans="1:24">
      <c r="A67" s="15" t="s">
        <v>456</v>
      </c>
      <c r="B67" s="15" t="s">
        <v>28</v>
      </c>
      <c r="C67" s="15" t="s">
        <v>337</v>
      </c>
      <c r="D67" s="15" t="s">
        <v>457</v>
      </c>
      <c r="E67" s="15" t="s">
        <v>119</v>
      </c>
      <c r="F67" s="15" t="s">
        <v>89</v>
      </c>
      <c r="G67" s="15" t="s">
        <v>458</v>
      </c>
      <c r="H67" s="15" t="s">
        <v>91</v>
      </c>
      <c r="I67" s="15" t="s">
        <v>92</v>
      </c>
      <c r="J67" s="15" t="s">
        <v>181</v>
      </c>
      <c r="K67" s="16" t="s">
        <v>182</v>
      </c>
      <c r="L67" s="16" t="s">
        <v>459</v>
      </c>
      <c r="M67" s="16" t="s">
        <v>460</v>
      </c>
      <c r="N67" s="15" t="s">
        <v>333</v>
      </c>
      <c r="O67" s="15" t="s">
        <v>98</v>
      </c>
      <c r="P67" s="15" t="s">
        <v>186</v>
      </c>
      <c r="Q67" s="15"/>
      <c r="R67" s="15" t="s">
        <v>461</v>
      </c>
      <c r="S67" s="15" t="s">
        <v>114</v>
      </c>
      <c r="T67" s="15" t="str">
        <f>HYPERLINK("http://ovopark.oss-cn-hangzhou.aliyuncs.com/2039_117167000306281_image_1600851513771.jpg","查看图片")</f>
        <v>查看图片</v>
      </c>
      <c r="U67" s="15" t="s">
        <v>15</v>
      </c>
      <c r="V67" s="15" t="s">
        <v>462</v>
      </c>
      <c r="W67" s="13" t="s">
        <v>137</v>
      </c>
      <c r="X67" s="13" t="s">
        <v>335</v>
      </c>
    </row>
    <row r="68" customHeight="1" spans="1:24">
      <c r="A68" s="15" t="s">
        <v>463</v>
      </c>
      <c r="B68" s="15" t="s">
        <v>28</v>
      </c>
      <c r="C68" s="15" t="s">
        <v>221</v>
      </c>
      <c r="D68" s="15" t="s">
        <v>222</v>
      </c>
      <c r="E68" s="15" t="s">
        <v>89</v>
      </c>
      <c r="F68" s="15" t="s">
        <v>89</v>
      </c>
      <c r="G68" s="15" t="s">
        <v>120</v>
      </c>
      <c r="H68" s="15" t="s">
        <v>91</v>
      </c>
      <c r="I68" s="15" t="s">
        <v>92</v>
      </c>
      <c r="J68" s="15" t="s">
        <v>155</v>
      </c>
      <c r="K68" s="16" t="s">
        <v>156</v>
      </c>
      <c r="L68" s="16" t="s">
        <v>464</v>
      </c>
      <c r="M68" s="16" t="s">
        <v>465</v>
      </c>
      <c r="N68" s="15" t="s">
        <v>333</v>
      </c>
      <c r="O68" s="15" t="s">
        <v>98</v>
      </c>
      <c r="P68" s="15" t="s">
        <v>186</v>
      </c>
      <c r="Q68" s="15"/>
      <c r="R68" s="15" t="s">
        <v>127</v>
      </c>
      <c r="S68" s="15" t="s">
        <v>114</v>
      </c>
      <c r="T68" s="15" t="str">
        <f>HYPERLINK("http://ovopark.oss-cn-hangzhou.aliyuncs.com/2039_117201464682474_image_1600851548177.jpg","查看图片")</f>
        <v>查看图片</v>
      </c>
      <c r="U68" s="15" t="s">
        <v>7</v>
      </c>
      <c r="V68" s="15" t="s">
        <v>466</v>
      </c>
      <c r="W68" s="13" t="s">
        <v>137</v>
      </c>
      <c r="X68" s="13" t="s">
        <v>335</v>
      </c>
    </row>
    <row r="69" customHeight="1" spans="1:24">
      <c r="A69" s="15" t="s">
        <v>467</v>
      </c>
      <c r="B69" s="15" t="s">
        <v>17</v>
      </c>
      <c r="C69" s="15" t="s">
        <v>221</v>
      </c>
      <c r="D69" s="15" t="s">
        <v>222</v>
      </c>
      <c r="E69" s="15" t="s">
        <v>89</v>
      </c>
      <c r="F69" s="15" t="s">
        <v>89</v>
      </c>
      <c r="G69" s="15" t="s">
        <v>120</v>
      </c>
      <c r="H69" s="15" t="s">
        <v>91</v>
      </c>
      <c r="I69" s="15" t="s">
        <v>92</v>
      </c>
      <c r="J69" s="15" t="s">
        <v>155</v>
      </c>
      <c r="K69" s="16" t="s">
        <v>156</v>
      </c>
      <c r="L69" s="16" t="s">
        <v>468</v>
      </c>
      <c r="M69" s="16" t="s">
        <v>469</v>
      </c>
      <c r="N69" s="15" t="s">
        <v>470</v>
      </c>
      <c r="O69" s="15" t="s">
        <v>98</v>
      </c>
      <c r="P69" s="15" t="s">
        <v>186</v>
      </c>
      <c r="Q69" s="15"/>
      <c r="R69" s="15" t="s">
        <v>127</v>
      </c>
      <c r="S69" s="15" t="s">
        <v>114</v>
      </c>
      <c r="T69" s="15" t="s">
        <v>114</v>
      </c>
      <c r="U69" s="15" t="s">
        <v>7</v>
      </c>
      <c r="V69" s="15" t="s">
        <v>471</v>
      </c>
      <c r="W69" s="13" t="s">
        <v>137</v>
      </c>
      <c r="X69" s="13" t="s">
        <v>472</v>
      </c>
    </row>
    <row r="70" customHeight="1" spans="1:24">
      <c r="A70" s="15" t="s">
        <v>473</v>
      </c>
      <c r="B70" s="15" t="s">
        <v>17</v>
      </c>
      <c r="C70" s="15" t="s">
        <v>221</v>
      </c>
      <c r="D70" s="15" t="s">
        <v>222</v>
      </c>
      <c r="E70" s="15" t="s">
        <v>89</v>
      </c>
      <c r="F70" s="15" t="s">
        <v>89</v>
      </c>
      <c r="G70" s="15" t="s">
        <v>120</v>
      </c>
      <c r="H70" s="15" t="s">
        <v>91</v>
      </c>
      <c r="I70" s="15" t="s">
        <v>92</v>
      </c>
      <c r="J70" s="15" t="s">
        <v>155</v>
      </c>
      <c r="K70" s="16" t="s">
        <v>156</v>
      </c>
      <c r="L70" s="16" t="s">
        <v>474</v>
      </c>
      <c r="M70" s="16" t="s">
        <v>475</v>
      </c>
      <c r="N70" s="15" t="s">
        <v>470</v>
      </c>
      <c r="O70" s="15" t="s">
        <v>98</v>
      </c>
      <c r="P70" s="15" t="s">
        <v>186</v>
      </c>
      <c r="Q70" s="15"/>
      <c r="R70" s="15" t="s">
        <v>127</v>
      </c>
      <c r="S70" s="15" t="s">
        <v>114</v>
      </c>
      <c r="T70" s="15" t="s">
        <v>114</v>
      </c>
      <c r="U70" s="15" t="s">
        <v>7</v>
      </c>
      <c r="V70" s="15" t="s">
        <v>476</v>
      </c>
      <c r="W70" s="13" t="s">
        <v>137</v>
      </c>
      <c r="X70" s="13" t="s">
        <v>472</v>
      </c>
    </row>
    <row r="71" customHeight="1" spans="1:24">
      <c r="A71" s="15" t="s">
        <v>477</v>
      </c>
      <c r="B71" s="15" t="s">
        <v>17</v>
      </c>
      <c r="C71" s="15" t="s">
        <v>221</v>
      </c>
      <c r="D71" s="15" t="s">
        <v>222</v>
      </c>
      <c r="E71" s="15" t="s">
        <v>89</v>
      </c>
      <c r="F71" s="15" t="s">
        <v>89</v>
      </c>
      <c r="G71" s="15" t="s">
        <v>120</v>
      </c>
      <c r="H71" s="15" t="s">
        <v>91</v>
      </c>
      <c r="I71" s="15" t="s">
        <v>92</v>
      </c>
      <c r="J71" s="15" t="s">
        <v>155</v>
      </c>
      <c r="K71" s="16" t="s">
        <v>156</v>
      </c>
      <c r="L71" s="16" t="s">
        <v>478</v>
      </c>
      <c r="M71" s="16" t="s">
        <v>479</v>
      </c>
      <c r="N71" s="15" t="s">
        <v>470</v>
      </c>
      <c r="O71" s="15" t="s">
        <v>98</v>
      </c>
      <c r="P71" s="15" t="s">
        <v>186</v>
      </c>
      <c r="Q71" s="15"/>
      <c r="R71" s="15" t="s">
        <v>127</v>
      </c>
      <c r="S71" s="15" t="s">
        <v>114</v>
      </c>
      <c r="T71" s="15" t="s">
        <v>114</v>
      </c>
      <c r="U71" s="15" t="s">
        <v>7</v>
      </c>
      <c r="V71" s="15" t="s">
        <v>480</v>
      </c>
      <c r="W71" s="13" t="s">
        <v>137</v>
      </c>
      <c r="X71" s="13" t="s">
        <v>472</v>
      </c>
    </row>
    <row r="72" customHeight="1" spans="1:24">
      <c r="A72" s="15" t="s">
        <v>481</v>
      </c>
      <c r="B72" s="15" t="s">
        <v>17</v>
      </c>
      <c r="C72" s="15" t="s">
        <v>221</v>
      </c>
      <c r="D72" s="15" t="s">
        <v>222</v>
      </c>
      <c r="E72" s="15" t="s">
        <v>89</v>
      </c>
      <c r="F72" s="15" t="s">
        <v>89</v>
      </c>
      <c r="G72" s="15" t="s">
        <v>120</v>
      </c>
      <c r="H72" s="15" t="s">
        <v>91</v>
      </c>
      <c r="I72" s="15" t="s">
        <v>92</v>
      </c>
      <c r="J72" s="15" t="s">
        <v>155</v>
      </c>
      <c r="K72" s="16" t="s">
        <v>156</v>
      </c>
      <c r="L72" s="16" t="s">
        <v>482</v>
      </c>
      <c r="M72" s="16" t="s">
        <v>483</v>
      </c>
      <c r="N72" s="15" t="s">
        <v>470</v>
      </c>
      <c r="O72" s="15" t="s">
        <v>98</v>
      </c>
      <c r="P72" s="15" t="s">
        <v>186</v>
      </c>
      <c r="Q72" s="15"/>
      <c r="R72" s="15" t="s">
        <v>127</v>
      </c>
      <c r="S72" s="15" t="s">
        <v>114</v>
      </c>
      <c r="T72" s="15" t="s">
        <v>114</v>
      </c>
      <c r="U72" s="15" t="s">
        <v>7</v>
      </c>
      <c r="V72" s="15" t="s">
        <v>484</v>
      </c>
      <c r="W72" s="13" t="s">
        <v>137</v>
      </c>
      <c r="X72" s="13" t="s">
        <v>472</v>
      </c>
    </row>
    <row r="73" customHeight="1" spans="1:24">
      <c r="A73" s="15" t="s">
        <v>485</v>
      </c>
      <c r="B73" s="15" t="s">
        <v>17</v>
      </c>
      <c r="C73" s="15" t="s">
        <v>221</v>
      </c>
      <c r="D73" s="15" t="s">
        <v>222</v>
      </c>
      <c r="E73" s="15" t="s">
        <v>89</v>
      </c>
      <c r="F73" s="15" t="s">
        <v>89</v>
      </c>
      <c r="G73" s="15" t="s">
        <v>120</v>
      </c>
      <c r="H73" s="15" t="s">
        <v>91</v>
      </c>
      <c r="I73" s="15" t="s">
        <v>92</v>
      </c>
      <c r="J73" s="15" t="s">
        <v>155</v>
      </c>
      <c r="K73" s="16" t="s">
        <v>156</v>
      </c>
      <c r="L73" s="16" t="s">
        <v>486</v>
      </c>
      <c r="M73" s="16" t="s">
        <v>487</v>
      </c>
      <c r="N73" s="15" t="s">
        <v>470</v>
      </c>
      <c r="O73" s="15" t="s">
        <v>98</v>
      </c>
      <c r="P73" s="15" t="s">
        <v>186</v>
      </c>
      <c r="Q73" s="15"/>
      <c r="R73" s="15" t="s">
        <v>127</v>
      </c>
      <c r="S73" s="15" t="s">
        <v>114</v>
      </c>
      <c r="T73" s="15" t="s">
        <v>114</v>
      </c>
      <c r="U73" s="15" t="s">
        <v>7</v>
      </c>
      <c r="V73" s="15" t="s">
        <v>488</v>
      </c>
      <c r="W73" s="13" t="s">
        <v>137</v>
      </c>
      <c r="X73" s="13" t="s">
        <v>472</v>
      </c>
    </row>
    <row r="74" customHeight="1" spans="1:24">
      <c r="A74" s="15" t="s">
        <v>489</v>
      </c>
      <c r="B74" s="15" t="s">
        <v>45</v>
      </c>
      <c r="C74" s="15" t="s">
        <v>190</v>
      </c>
      <c r="D74" s="15" t="s">
        <v>191</v>
      </c>
      <c r="E74" s="15" t="s">
        <v>154</v>
      </c>
      <c r="F74" s="15" t="s">
        <v>89</v>
      </c>
      <c r="G74" s="15" t="s">
        <v>120</v>
      </c>
      <c r="H74" s="15" t="s">
        <v>91</v>
      </c>
      <c r="I74" s="15" t="s">
        <v>92</v>
      </c>
      <c r="J74" s="15" t="s">
        <v>143</v>
      </c>
      <c r="K74" s="16" t="s">
        <v>144</v>
      </c>
      <c r="L74" s="16" t="s">
        <v>490</v>
      </c>
      <c r="M74" s="16" t="s">
        <v>491</v>
      </c>
      <c r="N74" s="15" t="s">
        <v>492</v>
      </c>
      <c r="O74" s="15" t="s">
        <v>98</v>
      </c>
      <c r="P74" s="15" t="s">
        <v>160</v>
      </c>
      <c r="Q74" s="15"/>
      <c r="R74" s="15" t="s">
        <v>127</v>
      </c>
      <c r="S74" s="15" t="str">
        <f>HYPERLINK("http://shopweb.tjgdyf.com:8090/snapshot/G_62/D_1287/p_169/20200916233349.jpg","查看图片")</f>
        <v>查看图片</v>
      </c>
      <c r="T74" s="15" t="str">
        <f>HYPERLINK("http://ovopark.oss-cn-hangzhou.aliyuncs.com/2072_819218120200_image_1600928018152.jpg","查看图片")</f>
        <v>查看图片</v>
      </c>
      <c r="U74" s="15" t="s">
        <v>7</v>
      </c>
      <c r="V74" s="15" t="s">
        <v>493</v>
      </c>
      <c r="W74" s="13" t="s">
        <v>137</v>
      </c>
      <c r="X74" s="13" t="s">
        <v>494</v>
      </c>
    </row>
    <row r="75" customHeight="1" spans="1:24">
      <c r="A75" s="15" t="s">
        <v>495</v>
      </c>
      <c r="B75" s="15" t="s">
        <v>17</v>
      </c>
      <c r="C75" s="15" t="s">
        <v>221</v>
      </c>
      <c r="D75" s="15" t="s">
        <v>222</v>
      </c>
      <c r="E75" s="15" t="s">
        <v>89</v>
      </c>
      <c r="F75" s="15" t="s">
        <v>89</v>
      </c>
      <c r="G75" s="15" t="s">
        <v>120</v>
      </c>
      <c r="H75" s="15" t="s">
        <v>91</v>
      </c>
      <c r="I75" s="15" t="s">
        <v>92</v>
      </c>
      <c r="J75" s="15" t="s">
        <v>155</v>
      </c>
      <c r="K75" s="16" t="s">
        <v>156</v>
      </c>
      <c r="L75" s="16" t="s">
        <v>496</v>
      </c>
      <c r="M75" s="16" t="s">
        <v>497</v>
      </c>
      <c r="N75" s="15" t="s">
        <v>470</v>
      </c>
      <c r="O75" s="15" t="s">
        <v>98</v>
      </c>
      <c r="P75" s="15" t="s">
        <v>186</v>
      </c>
      <c r="Q75" s="15"/>
      <c r="R75" s="15" t="s">
        <v>127</v>
      </c>
      <c r="S75" s="15" t="s">
        <v>114</v>
      </c>
      <c r="T75" s="15" t="s">
        <v>114</v>
      </c>
      <c r="U75" s="15" t="s">
        <v>7</v>
      </c>
      <c r="V75" s="15" t="s">
        <v>498</v>
      </c>
      <c r="W75" s="13" t="s">
        <v>137</v>
      </c>
      <c r="X75" s="13" t="s">
        <v>472</v>
      </c>
    </row>
    <row r="76" customHeight="1" spans="1:24">
      <c r="A76" s="15" t="s">
        <v>499</v>
      </c>
      <c r="B76" s="15" t="s">
        <v>52</v>
      </c>
      <c r="C76" s="15" t="s">
        <v>190</v>
      </c>
      <c r="D76" s="15" t="s">
        <v>191</v>
      </c>
      <c r="E76" s="15" t="s">
        <v>154</v>
      </c>
      <c r="F76" s="15" t="s">
        <v>89</v>
      </c>
      <c r="G76" s="15" t="s">
        <v>120</v>
      </c>
      <c r="H76" s="15" t="s">
        <v>91</v>
      </c>
      <c r="I76" s="15" t="s">
        <v>92</v>
      </c>
      <c r="J76" s="15" t="s">
        <v>182</v>
      </c>
      <c r="K76" s="16" t="s">
        <v>192</v>
      </c>
      <c r="L76" s="16" t="s">
        <v>500</v>
      </c>
      <c r="M76" s="16" t="s">
        <v>501</v>
      </c>
      <c r="N76" s="15" t="s">
        <v>502</v>
      </c>
      <c r="O76" s="15" t="s">
        <v>98</v>
      </c>
      <c r="P76" s="15" t="s">
        <v>160</v>
      </c>
      <c r="Q76" s="15"/>
      <c r="R76" s="15" t="s">
        <v>127</v>
      </c>
      <c r="S76" s="15" t="str">
        <f>HYPERLINK("http://shopweb.tjgdyf.com:8090/snapshot/G_62/D_1275/p_8/20200918231920.jpg","查看图片")</f>
        <v>查看图片</v>
      </c>
      <c r="T76" s="15" t="str">
        <f>HYPERLINK("http://ovopark.oss-cn-hangzhou.aliyuncs.com/2236_13243319574960_image_1600919121305.jpg","查看图片")</f>
        <v>查看图片</v>
      </c>
      <c r="U76" s="15" t="s">
        <v>7</v>
      </c>
      <c r="V76" s="15" t="s">
        <v>503</v>
      </c>
      <c r="W76" s="13" t="s">
        <v>137</v>
      </c>
      <c r="X76" s="13" t="s">
        <v>504</v>
      </c>
    </row>
    <row r="77" customHeight="1" spans="1:24">
      <c r="A77" s="15" t="s">
        <v>505</v>
      </c>
      <c r="B77" s="15" t="s">
        <v>52</v>
      </c>
      <c r="C77" s="15" t="s">
        <v>190</v>
      </c>
      <c r="D77" s="15" t="s">
        <v>191</v>
      </c>
      <c r="E77" s="15" t="s">
        <v>154</v>
      </c>
      <c r="F77" s="15" t="s">
        <v>89</v>
      </c>
      <c r="G77" s="15" t="s">
        <v>120</v>
      </c>
      <c r="H77" s="15" t="s">
        <v>91</v>
      </c>
      <c r="I77" s="15" t="s">
        <v>92</v>
      </c>
      <c r="J77" s="15" t="s">
        <v>182</v>
      </c>
      <c r="K77" s="16" t="s">
        <v>192</v>
      </c>
      <c r="L77" s="16" t="s">
        <v>506</v>
      </c>
      <c r="M77" s="16" t="s">
        <v>507</v>
      </c>
      <c r="N77" s="15" t="s">
        <v>502</v>
      </c>
      <c r="O77" s="15" t="s">
        <v>98</v>
      </c>
      <c r="P77" s="15" t="s">
        <v>160</v>
      </c>
      <c r="Q77" s="15"/>
      <c r="R77" s="15" t="s">
        <v>508</v>
      </c>
      <c r="S77" s="15" t="str">
        <f>HYPERLINK("http://shopweb.tjgdyf.com:8090/snapshot/G_62/D_1275/p_12/20200918231844.jpg","查看图片")</f>
        <v>查看图片</v>
      </c>
      <c r="T77" s="15" t="str">
        <f>HYPERLINK("http://ovopark.oss-cn-hangzhou.aliyuncs.com/2236_13294906398901_image_1600919173319.jpg","查看图片")</f>
        <v>查看图片</v>
      </c>
      <c r="U77" s="15" t="s">
        <v>7</v>
      </c>
      <c r="V77" s="15" t="s">
        <v>509</v>
      </c>
      <c r="W77" s="13" t="s">
        <v>137</v>
      </c>
      <c r="X77" s="13" t="s">
        <v>504</v>
      </c>
    </row>
    <row r="78" customHeight="1" spans="1:24">
      <c r="A78" s="15" t="s">
        <v>510</v>
      </c>
      <c r="B78" s="15" t="s">
        <v>41</v>
      </c>
      <c r="C78" s="15" t="s">
        <v>190</v>
      </c>
      <c r="D78" s="15" t="s">
        <v>191</v>
      </c>
      <c r="E78" s="15" t="s">
        <v>154</v>
      </c>
      <c r="F78" s="15" t="s">
        <v>89</v>
      </c>
      <c r="G78" s="15" t="s">
        <v>120</v>
      </c>
      <c r="H78" s="15" t="s">
        <v>91</v>
      </c>
      <c r="I78" s="15" t="s">
        <v>92</v>
      </c>
      <c r="J78" s="15" t="s">
        <v>182</v>
      </c>
      <c r="K78" s="16" t="s">
        <v>192</v>
      </c>
      <c r="L78" s="16" t="s">
        <v>511</v>
      </c>
      <c r="M78" s="16" t="s">
        <v>512</v>
      </c>
      <c r="N78" s="15" t="s">
        <v>513</v>
      </c>
      <c r="O78" s="15" t="s">
        <v>98</v>
      </c>
      <c r="P78" s="15" t="s">
        <v>160</v>
      </c>
      <c r="Q78" s="15"/>
      <c r="R78" s="15" t="s">
        <v>127</v>
      </c>
      <c r="S78" s="15" t="str">
        <f>HYPERLINK("http://shopweb.tjgdyf.com:8090/snapshot/G_62/D_1360/p_1755/20200918232031.jpg","查看图片")</f>
        <v>查看图片</v>
      </c>
      <c r="T78" s="15" t="s">
        <v>114</v>
      </c>
      <c r="U78" s="15" t="s">
        <v>7</v>
      </c>
      <c r="V78" s="15" t="s">
        <v>514</v>
      </c>
      <c r="W78" s="13" t="s">
        <v>137</v>
      </c>
      <c r="X78" s="13" t="s">
        <v>515</v>
      </c>
    </row>
    <row r="79" customHeight="1" spans="1:24">
      <c r="A79" s="15" t="s">
        <v>516</v>
      </c>
      <c r="B79" s="15" t="s">
        <v>14</v>
      </c>
      <c r="C79" s="15" t="s">
        <v>212</v>
      </c>
      <c r="D79" s="15" t="s">
        <v>517</v>
      </c>
      <c r="E79" s="15" t="s">
        <v>154</v>
      </c>
      <c r="F79" s="15" t="s">
        <v>89</v>
      </c>
      <c r="G79" s="15" t="s">
        <v>120</v>
      </c>
      <c r="H79" s="15" t="s">
        <v>91</v>
      </c>
      <c r="I79" s="15" t="s">
        <v>92</v>
      </c>
      <c r="J79" s="15" t="s">
        <v>144</v>
      </c>
      <c r="K79" s="16" t="s">
        <v>347</v>
      </c>
      <c r="L79" s="16" t="s">
        <v>518</v>
      </c>
      <c r="M79" s="16" t="s">
        <v>519</v>
      </c>
      <c r="N79" s="15" t="s">
        <v>520</v>
      </c>
      <c r="O79" s="15" t="s">
        <v>98</v>
      </c>
      <c r="P79" s="15" t="s">
        <v>186</v>
      </c>
      <c r="Q79" s="15"/>
      <c r="R79" s="15" t="s">
        <v>521</v>
      </c>
      <c r="S79" s="15" t="s">
        <v>114</v>
      </c>
      <c r="T79" s="15" t="str">
        <f>HYPERLINK("http://ovopark.oss-cn-hangzhou.aliyuncs.com/202009241520405255.jpeg","查看图片")</f>
        <v>查看图片</v>
      </c>
      <c r="U79" s="15" t="s">
        <v>15</v>
      </c>
      <c r="V79" s="15" t="s">
        <v>522</v>
      </c>
      <c r="W79" s="13" t="s">
        <v>137</v>
      </c>
      <c r="X79" s="13" t="s">
        <v>523</v>
      </c>
    </row>
    <row r="80" customHeight="1" spans="1:24">
      <c r="A80" s="15" t="s">
        <v>524</v>
      </c>
      <c r="B80" s="15" t="s">
        <v>14</v>
      </c>
      <c r="C80" s="15" t="s">
        <v>525</v>
      </c>
      <c r="D80" s="15" t="s">
        <v>526</v>
      </c>
      <c r="E80" s="15" t="s">
        <v>89</v>
      </c>
      <c r="F80" s="15" t="s">
        <v>89</v>
      </c>
      <c r="G80" s="15" t="s">
        <v>120</v>
      </c>
      <c r="H80" s="15" t="s">
        <v>91</v>
      </c>
      <c r="I80" s="15" t="s">
        <v>92</v>
      </c>
      <c r="J80" s="15" t="s">
        <v>144</v>
      </c>
      <c r="K80" s="16" t="s">
        <v>347</v>
      </c>
      <c r="L80" s="16" t="s">
        <v>527</v>
      </c>
      <c r="M80" s="16" t="s">
        <v>528</v>
      </c>
      <c r="N80" s="15" t="s">
        <v>520</v>
      </c>
      <c r="O80" s="15" t="s">
        <v>98</v>
      </c>
      <c r="P80" s="15" t="s">
        <v>186</v>
      </c>
      <c r="Q80" s="15"/>
      <c r="R80" s="15" t="s">
        <v>529</v>
      </c>
      <c r="S80" s="15" t="s">
        <v>114</v>
      </c>
      <c r="T80" s="15" t="str">
        <f>HYPERLINK("http://ovopark.oss-cn-hangzhou.aliyuncs.com/202009241523275583.jpeg","查看图片")</f>
        <v>查看图片</v>
      </c>
      <c r="U80" s="15" t="s">
        <v>15</v>
      </c>
      <c r="V80" s="15" t="s">
        <v>530</v>
      </c>
      <c r="W80" s="13" t="s">
        <v>137</v>
      </c>
      <c r="X80" s="13" t="s">
        <v>523</v>
      </c>
    </row>
    <row r="81" customHeight="1" spans="1:24">
      <c r="A81" s="15" t="s">
        <v>531</v>
      </c>
      <c r="B81" s="15" t="s">
        <v>45</v>
      </c>
      <c r="C81" s="15" t="s">
        <v>190</v>
      </c>
      <c r="D81" s="15" t="s">
        <v>191</v>
      </c>
      <c r="E81" s="15" t="s">
        <v>154</v>
      </c>
      <c r="F81" s="15" t="s">
        <v>89</v>
      </c>
      <c r="G81" s="15" t="s">
        <v>120</v>
      </c>
      <c r="H81" s="15" t="s">
        <v>91</v>
      </c>
      <c r="I81" s="15" t="s">
        <v>92</v>
      </c>
      <c r="J81" s="15" t="s">
        <v>143</v>
      </c>
      <c r="K81" s="16" t="s">
        <v>144</v>
      </c>
      <c r="L81" s="16" t="s">
        <v>532</v>
      </c>
      <c r="M81" s="16" t="s">
        <v>533</v>
      </c>
      <c r="N81" s="15" t="s">
        <v>492</v>
      </c>
      <c r="O81" s="15" t="s">
        <v>98</v>
      </c>
      <c r="P81" s="15" t="s">
        <v>160</v>
      </c>
      <c r="Q81" s="15"/>
      <c r="R81" s="15" t="s">
        <v>127</v>
      </c>
      <c r="S81" s="15" t="str">
        <f>HYPERLINK("http://shopweb.tjgdyf.com:8090/snapshot/G_62/D_1287/p_166/20200916233403.jpg","查看图片")</f>
        <v>查看图片</v>
      </c>
      <c r="T81" s="15" t="str">
        <f>HYPERLINK("http://ovopark.oss-cn-hangzhou.aliyuncs.com/2072_725340370171_image_1600927911268.jpg","查看图片")</f>
        <v>查看图片</v>
      </c>
      <c r="U81" s="15" t="s">
        <v>7</v>
      </c>
      <c r="V81" s="15" t="s">
        <v>534</v>
      </c>
      <c r="W81" s="13" t="s">
        <v>137</v>
      </c>
      <c r="X81" s="13" t="s">
        <v>494</v>
      </c>
    </row>
    <row r="82" customHeight="1" spans="1:24">
      <c r="A82" s="15" t="s">
        <v>535</v>
      </c>
      <c r="B82" s="15" t="s">
        <v>14</v>
      </c>
      <c r="C82" s="15" t="s">
        <v>221</v>
      </c>
      <c r="D82" s="15" t="s">
        <v>222</v>
      </c>
      <c r="E82" s="15" t="s">
        <v>89</v>
      </c>
      <c r="F82" s="15" t="s">
        <v>89</v>
      </c>
      <c r="G82" s="15" t="s">
        <v>120</v>
      </c>
      <c r="H82" s="15" t="s">
        <v>91</v>
      </c>
      <c r="I82" s="15" t="s">
        <v>92</v>
      </c>
      <c r="J82" s="15" t="s">
        <v>155</v>
      </c>
      <c r="K82" s="16" t="s">
        <v>156</v>
      </c>
      <c r="L82" s="16" t="s">
        <v>536</v>
      </c>
      <c r="M82" s="16" t="s">
        <v>537</v>
      </c>
      <c r="N82" s="15" t="s">
        <v>520</v>
      </c>
      <c r="O82" s="15" t="s">
        <v>98</v>
      </c>
      <c r="P82" s="15" t="s">
        <v>186</v>
      </c>
      <c r="Q82" s="15"/>
      <c r="R82" s="15" t="s">
        <v>127</v>
      </c>
      <c r="S82" s="15" t="s">
        <v>114</v>
      </c>
      <c r="T82" s="15" t="str">
        <f>HYPERLINK("http://ovopark.oss-cn-hangzhou.aliyuncs.com/202009241523596011.jpeg","查看图片")</f>
        <v>查看图片</v>
      </c>
      <c r="U82" s="15" t="s">
        <v>7</v>
      </c>
      <c r="V82" s="15" t="s">
        <v>538</v>
      </c>
      <c r="W82" s="13" t="s">
        <v>137</v>
      </c>
      <c r="X82" s="13" t="s">
        <v>523</v>
      </c>
    </row>
    <row r="83" customHeight="1" spans="1:24">
      <c r="A83" s="15" t="s">
        <v>539</v>
      </c>
      <c r="B83" s="15" t="s">
        <v>28</v>
      </c>
      <c r="C83" s="15" t="s">
        <v>337</v>
      </c>
      <c r="D83" s="15" t="s">
        <v>338</v>
      </c>
      <c r="E83" s="15" t="s">
        <v>119</v>
      </c>
      <c r="F83" s="15" t="s">
        <v>89</v>
      </c>
      <c r="G83" s="15" t="s">
        <v>120</v>
      </c>
      <c r="H83" s="15" t="s">
        <v>91</v>
      </c>
      <c r="I83" s="15" t="s">
        <v>92</v>
      </c>
      <c r="J83" s="15" t="s">
        <v>181</v>
      </c>
      <c r="K83" s="16" t="s">
        <v>182</v>
      </c>
      <c r="L83" s="16" t="s">
        <v>540</v>
      </c>
      <c r="M83" s="16" t="s">
        <v>541</v>
      </c>
      <c r="N83" s="15" t="s">
        <v>333</v>
      </c>
      <c r="O83" s="15" t="s">
        <v>98</v>
      </c>
      <c r="P83" s="15" t="s">
        <v>186</v>
      </c>
      <c r="Q83" s="15"/>
      <c r="R83" s="15" t="s">
        <v>127</v>
      </c>
      <c r="S83" s="15" t="str">
        <f>HYPERLINK("http://ovopark.oss-cn-hangzhou.aliyuncs.com/1970_75000144581477_compress_75001566355279_image_1600158041334.jpg?x-oss-process=image/resize,w_700,l_700","查看图片")</f>
        <v>查看图片</v>
      </c>
      <c r="T83" s="15" t="str">
        <f>HYPERLINK("http://ovopark.oss-cn-hangzhou.aliyuncs.com/2039_135336308508421_image_1600934123329.jpg","查看图片")</f>
        <v>查看图片</v>
      </c>
      <c r="U83" s="15" t="s">
        <v>15</v>
      </c>
      <c r="V83" s="15" t="s">
        <v>542</v>
      </c>
      <c r="W83" s="13" t="s">
        <v>137</v>
      </c>
      <c r="X83" s="13" t="s">
        <v>335</v>
      </c>
    </row>
    <row r="84" customHeight="1" spans="1:24">
      <c r="A84" s="15" t="s">
        <v>543</v>
      </c>
      <c r="B84" s="15" t="s">
        <v>45</v>
      </c>
      <c r="C84" s="15" t="s">
        <v>190</v>
      </c>
      <c r="D84" s="15" t="s">
        <v>191</v>
      </c>
      <c r="E84" s="15" t="s">
        <v>154</v>
      </c>
      <c r="F84" s="15" t="s">
        <v>89</v>
      </c>
      <c r="G84" s="15" t="s">
        <v>120</v>
      </c>
      <c r="H84" s="15" t="s">
        <v>91</v>
      </c>
      <c r="I84" s="15" t="s">
        <v>92</v>
      </c>
      <c r="J84" s="15" t="s">
        <v>143</v>
      </c>
      <c r="K84" s="16" t="s">
        <v>144</v>
      </c>
      <c r="L84" s="16" t="s">
        <v>544</v>
      </c>
      <c r="M84" s="16" t="s">
        <v>541</v>
      </c>
      <c r="N84" s="15" t="s">
        <v>492</v>
      </c>
      <c r="O84" s="15" t="s">
        <v>98</v>
      </c>
      <c r="P84" s="15" t="s">
        <v>160</v>
      </c>
      <c r="Q84" s="15"/>
      <c r="R84" s="15" t="s">
        <v>127</v>
      </c>
      <c r="S84" s="15" t="str">
        <f>HYPERLINK("http://shopweb.tjgdyf.com:8090/snapshot/G_62/D_1287/p_165/20200916233323.jpg","查看图片")</f>
        <v>查看图片</v>
      </c>
      <c r="T84" s="15" t="str">
        <f>HYPERLINK("http://ovopark.oss-cn-hangzhou.aliyuncs.com/2072_855046032259_image_1600928053832.jpg","查看图片")</f>
        <v>查看图片</v>
      </c>
      <c r="U84" s="15" t="s">
        <v>7</v>
      </c>
      <c r="V84" s="15" t="s">
        <v>545</v>
      </c>
      <c r="W84" s="13" t="s">
        <v>137</v>
      </c>
      <c r="X84" s="13" t="s">
        <v>494</v>
      </c>
    </row>
    <row r="85" customHeight="1" spans="1:24">
      <c r="A85" s="15" t="s">
        <v>546</v>
      </c>
      <c r="B85" s="15" t="s">
        <v>14</v>
      </c>
      <c r="C85" s="15" t="s">
        <v>221</v>
      </c>
      <c r="D85" s="15" t="s">
        <v>222</v>
      </c>
      <c r="E85" s="15" t="s">
        <v>89</v>
      </c>
      <c r="F85" s="15" t="s">
        <v>89</v>
      </c>
      <c r="G85" s="15" t="s">
        <v>120</v>
      </c>
      <c r="H85" s="15" t="s">
        <v>91</v>
      </c>
      <c r="I85" s="15" t="s">
        <v>92</v>
      </c>
      <c r="J85" s="15" t="s">
        <v>155</v>
      </c>
      <c r="K85" s="16" t="s">
        <v>156</v>
      </c>
      <c r="L85" s="16" t="s">
        <v>547</v>
      </c>
      <c r="M85" s="16" t="s">
        <v>548</v>
      </c>
      <c r="N85" s="15" t="s">
        <v>520</v>
      </c>
      <c r="O85" s="15" t="s">
        <v>98</v>
      </c>
      <c r="P85" s="15" t="s">
        <v>186</v>
      </c>
      <c r="Q85" s="15"/>
      <c r="R85" s="15" t="s">
        <v>127</v>
      </c>
      <c r="S85" s="15" t="s">
        <v>114</v>
      </c>
      <c r="T85" s="15" t="str">
        <f>HYPERLINK("http://ovopark.oss-cn-hangzhou.aliyuncs.com/202009241524278671.jpeg","查看图片")</f>
        <v>查看图片</v>
      </c>
      <c r="U85" s="15" t="s">
        <v>7</v>
      </c>
      <c r="V85" s="15" t="s">
        <v>549</v>
      </c>
      <c r="W85" s="13" t="s">
        <v>137</v>
      </c>
      <c r="X85" s="13" t="s">
        <v>523</v>
      </c>
    </row>
    <row r="86" customHeight="1" spans="1:24">
      <c r="A86" s="15" t="s">
        <v>550</v>
      </c>
      <c r="B86" s="15" t="s">
        <v>14</v>
      </c>
      <c r="C86" s="15" t="s">
        <v>221</v>
      </c>
      <c r="D86" s="15" t="s">
        <v>222</v>
      </c>
      <c r="E86" s="15" t="s">
        <v>89</v>
      </c>
      <c r="F86" s="15" t="s">
        <v>89</v>
      </c>
      <c r="G86" s="15" t="s">
        <v>120</v>
      </c>
      <c r="H86" s="15" t="s">
        <v>91</v>
      </c>
      <c r="I86" s="15" t="s">
        <v>92</v>
      </c>
      <c r="J86" s="15" t="s">
        <v>155</v>
      </c>
      <c r="K86" s="16" t="s">
        <v>156</v>
      </c>
      <c r="L86" s="16" t="s">
        <v>551</v>
      </c>
      <c r="M86" s="16" t="s">
        <v>552</v>
      </c>
      <c r="N86" s="15" t="s">
        <v>520</v>
      </c>
      <c r="O86" s="15" t="s">
        <v>98</v>
      </c>
      <c r="P86" s="15" t="s">
        <v>186</v>
      </c>
      <c r="Q86" s="15"/>
      <c r="R86" s="15" t="s">
        <v>127</v>
      </c>
      <c r="S86" s="15" t="s">
        <v>114</v>
      </c>
      <c r="T86" s="15" t="str">
        <f>HYPERLINK("http://ovopark.oss-cn-hangzhou.aliyuncs.com/202009241525162146.jpeg","查看图片")</f>
        <v>查看图片</v>
      </c>
      <c r="U86" s="15" t="s">
        <v>7</v>
      </c>
      <c r="V86" s="15" t="s">
        <v>553</v>
      </c>
      <c r="W86" s="13" t="s">
        <v>137</v>
      </c>
      <c r="X86" s="13" t="s">
        <v>523</v>
      </c>
    </row>
    <row r="87" customHeight="1" spans="1:24">
      <c r="A87" s="15" t="s">
        <v>554</v>
      </c>
      <c r="B87" s="15" t="s">
        <v>14</v>
      </c>
      <c r="C87" s="15" t="s">
        <v>221</v>
      </c>
      <c r="D87" s="15" t="s">
        <v>222</v>
      </c>
      <c r="E87" s="15" t="s">
        <v>89</v>
      </c>
      <c r="F87" s="15" t="s">
        <v>89</v>
      </c>
      <c r="G87" s="15" t="s">
        <v>120</v>
      </c>
      <c r="H87" s="15" t="s">
        <v>91</v>
      </c>
      <c r="I87" s="15" t="s">
        <v>92</v>
      </c>
      <c r="J87" s="15" t="s">
        <v>155</v>
      </c>
      <c r="K87" s="16" t="s">
        <v>156</v>
      </c>
      <c r="L87" s="16" t="s">
        <v>555</v>
      </c>
      <c r="M87" s="16" t="s">
        <v>556</v>
      </c>
      <c r="N87" s="15" t="s">
        <v>520</v>
      </c>
      <c r="O87" s="15" t="s">
        <v>98</v>
      </c>
      <c r="P87" s="15" t="s">
        <v>186</v>
      </c>
      <c r="Q87" s="15"/>
      <c r="R87" s="15" t="s">
        <v>127</v>
      </c>
      <c r="S87" s="15" t="s">
        <v>114</v>
      </c>
      <c r="T87" s="15" t="str">
        <f>HYPERLINK("http://ovopark.oss-cn-hangzhou.aliyuncs.com/202009241525392613.jpeg","查看图片")</f>
        <v>查看图片</v>
      </c>
      <c r="U87" s="15" t="s">
        <v>7</v>
      </c>
      <c r="V87" s="15" t="s">
        <v>557</v>
      </c>
      <c r="W87" s="13" t="s">
        <v>137</v>
      </c>
      <c r="X87" s="13" t="s">
        <v>523</v>
      </c>
    </row>
    <row r="88" customHeight="1" spans="1:24">
      <c r="A88" s="15" t="s">
        <v>558</v>
      </c>
      <c r="B88" s="15" t="s">
        <v>10</v>
      </c>
      <c r="C88" s="15" t="s">
        <v>221</v>
      </c>
      <c r="D88" s="15" t="s">
        <v>222</v>
      </c>
      <c r="E88" s="15" t="s">
        <v>89</v>
      </c>
      <c r="F88" s="15" t="s">
        <v>89</v>
      </c>
      <c r="G88" s="15" t="s">
        <v>120</v>
      </c>
      <c r="H88" s="15" t="s">
        <v>91</v>
      </c>
      <c r="I88" s="15" t="s">
        <v>92</v>
      </c>
      <c r="J88" s="15" t="s">
        <v>155</v>
      </c>
      <c r="K88" s="16" t="s">
        <v>156</v>
      </c>
      <c r="L88" s="16" t="s">
        <v>559</v>
      </c>
      <c r="M88" s="16" t="s">
        <v>560</v>
      </c>
      <c r="N88" s="15" t="s">
        <v>561</v>
      </c>
      <c r="O88" s="15" t="s">
        <v>98</v>
      </c>
      <c r="P88" s="15" t="s">
        <v>186</v>
      </c>
      <c r="Q88" s="15"/>
      <c r="R88" s="15" t="s">
        <v>127</v>
      </c>
      <c r="S88" s="15" t="s">
        <v>114</v>
      </c>
      <c r="T88" s="15" t="str">
        <f>HYPERLINK("http://ovopark.oss-cn-hangzhou.aliyuncs.com/202009241526232371.jpeg","查看图片")</f>
        <v>查看图片</v>
      </c>
      <c r="U88" s="15" t="s">
        <v>7</v>
      </c>
      <c r="V88" s="15" t="s">
        <v>562</v>
      </c>
      <c r="W88" s="13" t="s">
        <v>137</v>
      </c>
      <c r="X88" s="13" t="s">
        <v>563</v>
      </c>
    </row>
    <row r="89" customHeight="1" spans="1:24">
      <c r="A89" s="15" t="s">
        <v>564</v>
      </c>
      <c r="B89" s="15" t="s">
        <v>10</v>
      </c>
      <c r="C89" s="15" t="s">
        <v>337</v>
      </c>
      <c r="D89" s="15" t="s">
        <v>338</v>
      </c>
      <c r="E89" s="15" t="s">
        <v>119</v>
      </c>
      <c r="F89" s="15" t="s">
        <v>89</v>
      </c>
      <c r="G89" s="15" t="s">
        <v>120</v>
      </c>
      <c r="H89" s="15" t="s">
        <v>91</v>
      </c>
      <c r="I89" s="15" t="s">
        <v>92</v>
      </c>
      <c r="J89" s="15" t="s">
        <v>144</v>
      </c>
      <c r="K89" s="16" t="s">
        <v>347</v>
      </c>
      <c r="L89" s="16" t="s">
        <v>565</v>
      </c>
      <c r="M89" s="16" t="s">
        <v>566</v>
      </c>
      <c r="N89" s="15" t="s">
        <v>561</v>
      </c>
      <c r="O89" s="15" t="s">
        <v>98</v>
      </c>
      <c r="P89" s="15" t="s">
        <v>186</v>
      </c>
      <c r="Q89" s="15"/>
      <c r="R89" s="15" t="s">
        <v>127</v>
      </c>
      <c r="S89" s="15" t="str">
        <f>HYPERLINK("http://ovopark.oss-cn-hangzhou.aliyuncs.com/1970_111761550944678_compress_111761796805043_image_1600487121267.jpg?x-oss-process=image/resize,w_700,l_700","查看图片")</f>
        <v>查看图片</v>
      </c>
      <c r="T89" s="15" t="str">
        <f>HYPERLINK("http://ovopark.oss-cn-hangzhou.aliyuncs.com/202009241527034170.jpeg","查看图片")</f>
        <v>查看图片</v>
      </c>
      <c r="U89" s="15" t="s">
        <v>15</v>
      </c>
      <c r="V89" s="15" t="s">
        <v>567</v>
      </c>
      <c r="W89" s="13" t="s">
        <v>137</v>
      </c>
      <c r="X89" s="13" t="s">
        <v>563</v>
      </c>
    </row>
    <row r="90" customHeight="1" spans="1:24">
      <c r="A90" s="15" t="s">
        <v>568</v>
      </c>
      <c r="B90" s="15" t="s">
        <v>10</v>
      </c>
      <c r="C90" s="15" t="s">
        <v>221</v>
      </c>
      <c r="D90" s="15" t="s">
        <v>222</v>
      </c>
      <c r="E90" s="15" t="s">
        <v>89</v>
      </c>
      <c r="F90" s="15" t="s">
        <v>89</v>
      </c>
      <c r="G90" s="15" t="s">
        <v>120</v>
      </c>
      <c r="H90" s="15" t="s">
        <v>91</v>
      </c>
      <c r="I90" s="15" t="s">
        <v>92</v>
      </c>
      <c r="J90" s="15" t="s">
        <v>155</v>
      </c>
      <c r="K90" s="16" t="s">
        <v>156</v>
      </c>
      <c r="L90" s="16" t="s">
        <v>569</v>
      </c>
      <c r="M90" s="16" t="s">
        <v>570</v>
      </c>
      <c r="N90" s="15" t="s">
        <v>561</v>
      </c>
      <c r="O90" s="15" t="s">
        <v>98</v>
      </c>
      <c r="P90" s="15" t="s">
        <v>186</v>
      </c>
      <c r="Q90" s="15"/>
      <c r="R90" s="15" t="s">
        <v>127</v>
      </c>
      <c r="S90" s="15" t="s">
        <v>114</v>
      </c>
      <c r="T90" s="15" t="str">
        <f>HYPERLINK("http://ovopark.oss-cn-hangzhou.aliyuncs.com/202009241527272188.jpeg","查看图片")</f>
        <v>查看图片</v>
      </c>
      <c r="U90" s="15" t="s">
        <v>7</v>
      </c>
      <c r="V90" s="15" t="s">
        <v>571</v>
      </c>
      <c r="W90" s="13" t="s">
        <v>137</v>
      </c>
      <c r="X90" s="13" t="s">
        <v>563</v>
      </c>
    </row>
    <row r="91" customHeight="1" spans="1:24">
      <c r="A91" s="15" t="s">
        <v>572</v>
      </c>
      <c r="B91" s="15" t="s">
        <v>10</v>
      </c>
      <c r="C91" s="15" t="s">
        <v>221</v>
      </c>
      <c r="D91" s="15" t="s">
        <v>222</v>
      </c>
      <c r="E91" s="15" t="s">
        <v>89</v>
      </c>
      <c r="F91" s="15" t="s">
        <v>89</v>
      </c>
      <c r="G91" s="15" t="s">
        <v>120</v>
      </c>
      <c r="H91" s="15" t="s">
        <v>91</v>
      </c>
      <c r="I91" s="15" t="s">
        <v>92</v>
      </c>
      <c r="J91" s="15" t="s">
        <v>155</v>
      </c>
      <c r="K91" s="16" t="s">
        <v>156</v>
      </c>
      <c r="L91" s="16" t="s">
        <v>573</v>
      </c>
      <c r="M91" s="16" t="s">
        <v>574</v>
      </c>
      <c r="N91" s="15" t="s">
        <v>561</v>
      </c>
      <c r="O91" s="15" t="s">
        <v>98</v>
      </c>
      <c r="P91" s="15" t="s">
        <v>186</v>
      </c>
      <c r="Q91" s="15"/>
      <c r="R91" s="15" t="s">
        <v>127</v>
      </c>
      <c r="S91" s="15" t="s">
        <v>114</v>
      </c>
      <c r="T91" s="15" t="str">
        <f>HYPERLINK("http://ovopark.oss-cn-hangzhou.aliyuncs.com/202009241527575647.jpeg","查看图片")</f>
        <v>查看图片</v>
      </c>
      <c r="U91" s="15" t="s">
        <v>7</v>
      </c>
      <c r="V91" s="15" t="s">
        <v>575</v>
      </c>
      <c r="W91" s="13" t="s">
        <v>137</v>
      </c>
      <c r="X91" s="13" t="s">
        <v>563</v>
      </c>
    </row>
    <row r="92" customHeight="1" spans="1:24">
      <c r="A92" s="15" t="s">
        <v>576</v>
      </c>
      <c r="B92" s="15" t="s">
        <v>8</v>
      </c>
      <c r="C92" s="15" t="s">
        <v>221</v>
      </c>
      <c r="D92" s="15" t="s">
        <v>222</v>
      </c>
      <c r="E92" s="15" t="s">
        <v>89</v>
      </c>
      <c r="F92" s="15" t="s">
        <v>89</v>
      </c>
      <c r="G92" s="15" t="s">
        <v>120</v>
      </c>
      <c r="H92" s="15" t="s">
        <v>91</v>
      </c>
      <c r="I92" s="15" t="s">
        <v>92</v>
      </c>
      <c r="J92" s="15" t="s">
        <v>155</v>
      </c>
      <c r="K92" s="16" t="s">
        <v>156</v>
      </c>
      <c r="L92" s="16" t="s">
        <v>577</v>
      </c>
      <c r="M92" s="16" t="s">
        <v>578</v>
      </c>
      <c r="N92" s="15" t="s">
        <v>579</v>
      </c>
      <c r="O92" s="15" t="s">
        <v>98</v>
      </c>
      <c r="P92" s="15" t="s">
        <v>186</v>
      </c>
      <c r="Q92" s="15"/>
      <c r="R92" s="15" t="s">
        <v>127</v>
      </c>
      <c r="S92" s="15" t="s">
        <v>114</v>
      </c>
      <c r="T92" s="15" t="str">
        <f>HYPERLINK("http://ovopark.oss-cn-hangzhou.aliyuncs.com/2167_13321376629343_image_1600932493358.jpg","查看图片")</f>
        <v>查看图片</v>
      </c>
      <c r="U92" s="15" t="s">
        <v>7</v>
      </c>
      <c r="V92" s="15" t="s">
        <v>580</v>
      </c>
      <c r="W92" s="13" t="s">
        <v>137</v>
      </c>
      <c r="X92" s="13" t="s">
        <v>581</v>
      </c>
    </row>
    <row r="93" customHeight="1" spans="1:24">
      <c r="A93" s="15" t="s">
        <v>582</v>
      </c>
      <c r="B93" s="15" t="s">
        <v>10</v>
      </c>
      <c r="C93" s="15" t="s">
        <v>221</v>
      </c>
      <c r="D93" s="15" t="s">
        <v>222</v>
      </c>
      <c r="E93" s="15" t="s">
        <v>89</v>
      </c>
      <c r="F93" s="15" t="s">
        <v>89</v>
      </c>
      <c r="G93" s="15" t="s">
        <v>120</v>
      </c>
      <c r="H93" s="15" t="s">
        <v>91</v>
      </c>
      <c r="I93" s="15" t="s">
        <v>92</v>
      </c>
      <c r="J93" s="15" t="s">
        <v>155</v>
      </c>
      <c r="K93" s="16" t="s">
        <v>156</v>
      </c>
      <c r="L93" s="16" t="s">
        <v>583</v>
      </c>
      <c r="M93" s="16" t="s">
        <v>584</v>
      </c>
      <c r="N93" s="15" t="s">
        <v>561</v>
      </c>
      <c r="O93" s="15" t="s">
        <v>98</v>
      </c>
      <c r="P93" s="15" t="s">
        <v>186</v>
      </c>
      <c r="Q93" s="15"/>
      <c r="R93" s="15" t="s">
        <v>127</v>
      </c>
      <c r="S93" s="15" t="s">
        <v>114</v>
      </c>
      <c r="T93" s="15" t="str">
        <f>HYPERLINK("http://ovopark.oss-cn-hangzhou.aliyuncs.com/202009241528226337.jpeg","查看图片")</f>
        <v>查看图片</v>
      </c>
      <c r="U93" s="15" t="s">
        <v>7</v>
      </c>
      <c r="V93" s="15" t="s">
        <v>585</v>
      </c>
      <c r="W93" s="13" t="s">
        <v>137</v>
      </c>
      <c r="X93" s="13" t="s">
        <v>563</v>
      </c>
    </row>
    <row r="94" customHeight="1" spans="1:24">
      <c r="A94" s="15" t="s">
        <v>586</v>
      </c>
      <c r="B94" s="15" t="s">
        <v>10</v>
      </c>
      <c r="C94" s="15" t="s">
        <v>221</v>
      </c>
      <c r="D94" s="15" t="s">
        <v>222</v>
      </c>
      <c r="E94" s="15" t="s">
        <v>89</v>
      </c>
      <c r="F94" s="15" t="s">
        <v>89</v>
      </c>
      <c r="G94" s="15" t="s">
        <v>120</v>
      </c>
      <c r="H94" s="15" t="s">
        <v>91</v>
      </c>
      <c r="I94" s="15" t="s">
        <v>92</v>
      </c>
      <c r="J94" s="15" t="s">
        <v>155</v>
      </c>
      <c r="K94" s="16" t="s">
        <v>156</v>
      </c>
      <c r="L94" s="16" t="s">
        <v>587</v>
      </c>
      <c r="M94" s="16" t="s">
        <v>588</v>
      </c>
      <c r="N94" s="15" t="s">
        <v>561</v>
      </c>
      <c r="O94" s="15" t="s">
        <v>98</v>
      </c>
      <c r="P94" s="15" t="s">
        <v>186</v>
      </c>
      <c r="Q94" s="15"/>
      <c r="R94" s="15" t="s">
        <v>127</v>
      </c>
      <c r="S94" s="15" t="s">
        <v>114</v>
      </c>
      <c r="T94" s="15" t="str">
        <f>HYPERLINK("http://ovopark.oss-cn-hangzhou.aliyuncs.com/20200924152841855.jpeg","查看图片")</f>
        <v>查看图片</v>
      </c>
      <c r="U94" s="15" t="s">
        <v>7</v>
      </c>
      <c r="V94" s="15" t="s">
        <v>589</v>
      </c>
      <c r="W94" s="13" t="s">
        <v>137</v>
      </c>
      <c r="X94" s="13" t="s">
        <v>563</v>
      </c>
    </row>
    <row r="95" customHeight="1" spans="1:24">
      <c r="A95" s="15" t="s">
        <v>590</v>
      </c>
      <c r="B95" s="15" t="s">
        <v>8</v>
      </c>
      <c r="C95" s="15" t="s">
        <v>221</v>
      </c>
      <c r="D95" s="15" t="s">
        <v>222</v>
      </c>
      <c r="E95" s="15" t="s">
        <v>89</v>
      </c>
      <c r="F95" s="15" t="s">
        <v>89</v>
      </c>
      <c r="G95" s="15" t="s">
        <v>120</v>
      </c>
      <c r="H95" s="15" t="s">
        <v>91</v>
      </c>
      <c r="I95" s="15" t="s">
        <v>92</v>
      </c>
      <c r="J95" s="15" t="s">
        <v>155</v>
      </c>
      <c r="K95" s="16" t="s">
        <v>156</v>
      </c>
      <c r="L95" s="16" t="s">
        <v>591</v>
      </c>
      <c r="M95" s="16" t="s">
        <v>592</v>
      </c>
      <c r="N95" s="15" t="s">
        <v>579</v>
      </c>
      <c r="O95" s="15" t="s">
        <v>98</v>
      </c>
      <c r="P95" s="15" t="s">
        <v>186</v>
      </c>
      <c r="Q95" s="15"/>
      <c r="R95" s="15" t="s">
        <v>127</v>
      </c>
      <c r="S95" s="15" t="s">
        <v>114</v>
      </c>
      <c r="T95" s="15" t="str">
        <f>HYPERLINK("http://ovopark.oss-cn-hangzhou.aliyuncs.com/2167_13348267317041_image_1600932519588.jpg","查看图片")</f>
        <v>查看图片</v>
      </c>
      <c r="U95" s="15" t="s">
        <v>7</v>
      </c>
      <c r="V95" s="15" t="s">
        <v>593</v>
      </c>
      <c r="W95" s="13" t="s">
        <v>137</v>
      </c>
      <c r="X95" s="13" t="s">
        <v>581</v>
      </c>
    </row>
    <row r="96" customHeight="1" spans="1:24">
      <c r="A96" s="15" t="s">
        <v>594</v>
      </c>
      <c r="B96" s="15" t="s">
        <v>10</v>
      </c>
      <c r="C96" s="15" t="s">
        <v>221</v>
      </c>
      <c r="D96" s="15" t="s">
        <v>222</v>
      </c>
      <c r="E96" s="15" t="s">
        <v>89</v>
      </c>
      <c r="F96" s="15" t="s">
        <v>89</v>
      </c>
      <c r="G96" s="15" t="s">
        <v>120</v>
      </c>
      <c r="H96" s="15" t="s">
        <v>91</v>
      </c>
      <c r="I96" s="15" t="s">
        <v>92</v>
      </c>
      <c r="J96" s="15" t="s">
        <v>155</v>
      </c>
      <c r="K96" s="16" t="s">
        <v>156</v>
      </c>
      <c r="L96" s="16" t="s">
        <v>595</v>
      </c>
      <c r="M96" s="16" t="s">
        <v>596</v>
      </c>
      <c r="N96" s="15" t="s">
        <v>561</v>
      </c>
      <c r="O96" s="15" t="s">
        <v>98</v>
      </c>
      <c r="P96" s="15" t="s">
        <v>186</v>
      </c>
      <c r="Q96" s="15"/>
      <c r="R96" s="15" t="s">
        <v>127</v>
      </c>
      <c r="S96" s="15" t="s">
        <v>114</v>
      </c>
      <c r="T96" s="15" t="str">
        <f>HYPERLINK("http://ovopark.oss-cn-hangzhou.aliyuncs.com/202009241528595214.jpeg","查看图片")</f>
        <v>查看图片</v>
      </c>
      <c r="U96" s="15" t="s">
        <v>7</v>
      </c>
      <c r="V96" s="15" t="s">
        <v>597</v>
      </c>
      <c r="W96" s="13" t="s">
        <v>137</v>
      </c>
      <c r="X96" s="13" t="s">
        <v>563</v>
      </c>
    </row>
    <row r="97" customHeight="1" spans="1:24">
      <c r="A97" s="15" t="s">
        <v>598</v>
      </c>
      <c r="B97" s="15" t="s">
        <v>14</v>
      </c>
      <c r="C97" s="15" t="s">
        <v>221</v>
      </c>
      <c r="D97" s="15" t="s">
        <v>222</v>
      </c>
      <c r="E97" s="15" t="s">
        <v>89</v>
      </c>
      <c r="F97" s="15" t="s">
        <v>89</v>
      </c>
      <c r="G97" s="15" t="s">
        <v>120</v>
      </c>
      <c r="H97" s="15" t="s">
        <v>91</v>
      </c>
      <c r="I97" s="15" t="s">
        <v>92</v>
      </c>
      <c r="J97" s="15" t="s">
        <v>155</v>
      </c>
      <c r="K97" s="16" t="s">
        <v>156</v>
      </c>
      <c r="L97" s="16" t="s">
        <v>599</v>
      </c>
      <c r="M97" s="16" t="s">
        <v>600</v>
      </c>
      <c r="N97" s="15" t="s">
        <v>520</v>
      </c>
      <c r="O97" s="15" t="s">
        <v>98</v>
      </c>
      <c r="P97" s="15" t="s">
        <v>186</v>
      </c>
      <c r="Q97" s="15"/>
      <c r="R97" s="15" t="s">
        <v>127</v>
      </c>
      <c r="S97" s="15" t="s">
        <v>114</v>
      </c>
      <c r="T97" s="15" t="str">
        <f>HYPERLINK("http://ovopark.oss-cn-hangzhou.aliyuncs.com/202009241529022678.jpeg","查看图片")</f>
        <v>查看图片</v>
      </c>
      <c r="U97" s="15" t="s">
        <v>7</v>
      </c>
      <c r="V97" s="15" t="s">
        <v>601</v>
      </c>
      <c r="W97" s="13" t="s">
        <v>137</v>
      </c>
      <c r="X97" s="13" t="s">
        <v>523</v>
      </c>
    </row>
    <row r="98" customHeight="1" spans="1:24">
      <c r="A98" s="15" t="s">
        <v>602</v>
      </c>
      <c r="B98" s="15" t="s">
        <v>8</v>
      </c>
      <c r="C98" s="15" t="s">
        <v>152</v>
      </c>
      <c r="D98" s="15" t="s">
        <v>168</v>
      </c>
      <c r="E98" s="15" t="s">
        <v>154</v>
      </c>
      <c r="F98" s="15" t="s">
        <v>89</v>
      </c>
      <c r="G98" s="15" t="s">
        <v>120</v>
      </c>
      <c r="H98" s="15" t="s">
        <v>91</v>
      </c>
      <c r="I98" s="15" t="s">
        <v>92</v>
      </c>
      <c r="J98" s="15" t="s">
        <v>143</v>
      </c>
      <c r="K98" s="16" t="s">
        <v>144</v>
      </c>
      <c r="L98" s="16" t="s">
        <v>603</v>
      </c>
      <c r="M98" s="16" t="s">
        <v>604</v>
      </c>
      <c r="N98" s="15" t="s">
        <v>579</v>
      </c>
      <c r="O98" s="15" t="s">
        <v>98</v>
      </c>
      <c r="P98" s="15" t="s">
        <v>186</v>
      </c>
      <c r="Q98" s="15"/>
      <c r="R98" s="15" t="s">
        <v>127</v>
      </c>
      <c r="S98" s="15" t="str">
        <f>HYPERLINK("http://shopweb.tjgdyf.com:8090/snapshot/G_62/D_1337/p_1914/20200916132057.jpg","查看图片")</f>
        <v>查看图片</v>
      </c>
      <c r="T98" s="15" t="str">
        <f>HYPERLINK("http://ovopark.oss-cn-hangzhou.aliyuncs.com/2167_13373608427188_image_1600932545730.jpg","查看图片")</f>
        <v>查看图片</v>
      </c>
      <c r="U98" s="15" t="s">
        <v>7</v>
      </c>
      <c r="V98" s="15" t="s">
        <v>605</v>
      </c>
      <c r="W98" s="13" t="s">
        <v>137</v>
      </c>
      <c r="X98" s="13" t="s">
        <v>581</v>
      </c>
    </row>
    <row r="99" customHeight="1" spans="1:24">
      <c r="A99" s="15" t="s">
        <v>606</v>
      </c>
      <c r="B99" s="15" t="s">
        <v>14</v>
      </c>
      <c r="C99" s="15" t="s">
        <v>221</v>
      </c>
      <c r="D99" s="15" t="s">
        <v>222</v>
      </c>
      <c r="E99" s="15" t="s">
        <v>89</v>
      </c>
      <c r="F99" s="15" t="s">
        <v>89</v>
      </c>
      <c r="G99" s="15" t="s">
        <v>120</v>
      </c>
      <c r="H99" s="15" t="s">
        <v>91</v>
      </c>
      <c r="I99" s="15" t="s">
        <v>92</v>
      </c>
      <c r="J99" s="15" t="s">
        <v>155</v>
      </c>
      <c r="K99" s="16" t="s">
        <v>156</v>
      </c>
      <c r="L99" s="16" t="s">
        <v>607</v>
      </c>
      <c r="M99" s="16" t="s">
        <v>608</v>
      </c>
      <c r="N99" s="15" t="s">
        <v>520</v>
      </c>
      <c r="O99" s="15" t="s">
        <v>98</v>
      </c>
      <c r="P99" s="15" t="s">
        <v>186</v>
      </c>
      <c r="Q99" s="15"/>
      <c r="R99" s="15" t="s">
        <v>127</v>
      </c>
      <c r="S99" s="15" t="s">
        <v>114</v>
      </c>
      <c r="T99" s="15" t="str">
        <f>HYPERLINK("http://ovopark.oss-cn-hangzhou.aliyuncs.com/202009241529328704.jpeg","查看图片")</f>
        <v>查看图片</v>
      </c>
      <c r="U99" s="15" t="s">
        <v>7</v>
      </c>
      <c r="V99" s="15" t="s">
        <v>609</v>
      </c>
      <c r="W99" s="13" t="s">
        <v>137</v>
      </c>
      <c r="X99" s="13" t="s">
        <v>523</v>
      </c>
    </row>
    <row r="100" customHeight="1" spans="1:24">
      <c r="A100" s="15" t="s">
        <v>610</v>
      </c>
      <c r="B100" s="15" t="s">
        <v>8</v>
      </c>
      <c r="C100" s="15" t="s">
        <v>152</v>
      </c>
      <c r="D100" s="15" t="s">
        <v>168</v>
      </c>
      <c r="E100" s="15" t="s">
        <v>154</v>
      </c>
      <c r="F100" s="15" t="s">
        <v>89</v>
      </c>
      <c r="G100" s="15" t="s">
        <v>120</v>
      </c>
      <c r="H100" s="15" t="s">
        <v>91</v>
      </c>
      <c r="I100" s="15" t="s">
        <v>92</v>
      </c>
      <c r="J100" s="15" t="s">
        <v>143</v>
      </c>
      <c r="K100" s="16" t="s">
        <v>144</v>
      </c>
      <c r="L100" s="16" t="s">
        <v>611</v>
      </c>
      <c r="M100" s="16" t="s">
        <v>612</v>
      </c>
      <c r="N100" s="15" t="s">
        <v>579</v>
      </c>
      <c r="O100" s="15" t="s">
        <v>98</v>
      </c>
      <c r="P100" s="15" t="s">
        <v>186</v>
      </c>
      <c r="Q100" s="15"/>
      <c r="R100" s="15" t="s">
        <v>127</v>
      </c>
      <c r="S100" s="15" t="str">
        <f>HYPERLINK("http://shopweb.tjgdyf.com:8090/snapshot/G_62/D_1337/p_1915/20200916132115.jpg","查看图片")</f>
        <v>查看图片</v>
      </c>
      <c r="T100" s="15" t="str">
        <f>HYPERLINK("http://ovopark.oss-cn-hangzhou.aliyuncs.com/2167_13459701827520_image_1600932631972.jpg","查看图片")</f>
        <v>查看图片</v>
      </c>
      <c r="U100" s="15" t="s">
        <v>7</v>
      </c>
      <c r="V100" s="15" t="s">
        <v>613</v>
      </c>
      <c r="W100" s="13" t="s">
        <v>137</v>
      </c>
      <c r="X100" s="13" t="s">
        <v>581</v>
      </c>
    </row>
    <row r="101" customHeight="1" spans="1:24">
      <c r="A101" s="15" t="s">
        <v>614</v>
      </c>
      <c r="B101" s="15" t="s">
        <v>8</v>
      </c>
      <c r="C101" s="15" t="s">
        <v>152</v>
      </c>
      <c r="D101" s="15" t="s">
        <v>168</v>
      </c>
      <c r="E101" s="15" t="s">
        <v>154</v>
      </c>
      <c r="F101" s="15" t="s">
        <v>89</v>
      </c>
      <c r="G101" s="15" t="s">
        <v>120</v>
      </c>
      <c r="H101" s="15" t="s">
        <v>91</v>
      </c>
      <c r="I101" s="15" t="s">
        <v>92</v>
      </c>
      <c r="J101" s="15" t="s">
        <v>143</v>
      </c>
      <c r="K101" s="16" t="s">
        <v>144</v>
      </c>
      <c r="L101" s="16" t="s">
        <v>615</v>
      </c>
      <c r="M101" s="16" t="s">
        <v>616</v>
      </c>
      <c r="N101" s="15" t="s">
        <v>579</v>
      </c>
      <c r="O101" s="15" t="s">
        <v>98</v>
      </c>
      <c r="P101" s="15" t="s">
        <v>186</v>
      </c>
      <c r="Q101" s="15"/>
      <c r="R101" s="15" t="s">
        <v>127</v>
      </c>
      <c r="S101" s="15" t="str">
        <f>HYPERLINK("http://shopweb.tjgdyf.com:8090/snapshot/G_62/D_1337/p_1913/20200916132046.jpg","查看图片")</f>
        <v>查看图片</v>
      </c>
      <c r="T101" s="15" t="s">
        <v>114</v>
      </c>
      <c r="U101" s="15" t="s">
        <v>7</v>
      </c>
      <c r="V101" s="15" t="s">
        <v>617</v>
      </c>
      <c r="W101" s="13" t="s">
        <v>137</v>
      </c>
      <c r="X101" s="13" t="s">
        <v>581</v>
      </c>
    </row>
    <row r="102" customHeight="1" spans="1:24">
      <c r="A102" s="15" t="s">
        <v>618</v>
      </c>
      <c r="B102" s="15" t="s">
        <v>8</v>
      </c>
      <c r="C102" s="15" t="s">
        <v>221</v>
      </c>
      <c r="D102" s="15" t="s">
        <v>222</v>
      </c>
      <c r="E102" s="15" t="s">
        <v>89</v>
      </c>
      <c r="F102" s="15" t="s">
        <v>89</v>
      </c>
      <c r="G102" s="15" t="s">
        <v>120</v>
      </c>
      <c r="H102" s="15" t="s">
        <v>91</v>
      </c>
      <c r="I102" s="15" t="s">
        <v>92</v>
      </c>
      <c r="J102" s="15" t="s">
        <v>155</v>
      </c>
      <c r="K102" s="16" t="s">
        <v>156</v>
      </c>
      <c r="L102" s="16" t="s">
        <v>619</v>
      </c>
      <c r="M102" s="16" t="s">
        <v>620</v>
      </c>
      <c r="N102" s="15" t="s">
        <v>579</v>
      </c>
      <c r="O102" s="15" t="s">
        <v>98</v>
      </c>
      <c r="P102" s="15" t="s">
        <v>186</v>
      </c>
      <c r="Q102" s="15"/>
      <c r="R102" s="15" t="s">
        <v>127</v>
      </c>
      <c r="S102" s="15" t="s">
        <v>114</v>
      </c>
      <c r="T102" s="15" t="str">
        <f>HYPERLINK("http://ovopark.oss-cn-hangzhou.aliyuncs.com/2167_13498035684328_image_1600932670562.jpg","查看图片")</f>
        <v>查看图片</v>
      </c>
      <c r="U102" s="15" t="s">
        <v>7</v>
      </c>
      <c r="V102" s="15" t="s">
        <v>621</v>
      </c>
      <c r="W102" s="13" t="s">
        <v>137</v>
      </c>
      <c r="X102" s="13" t="s">
        <v>581</v>
      </c>
    </row>
    <row r="103" customHeight="1" spans="1:24">
      <c r="A103" s="15" t="s">
        <v>622</v>
      </c>
      <c r="B103" s="15" t="s">
        <v>8</v>
      </c>
      <c r="C103" s="15" t="s">
        <v>152</v>
      </c>
      <c r="D103" s="15" t="s">
        <v>168</v>
      </c>
      <c r="E103" s="15" t="s">
        <v>154</v>
      </c>
      <c r="F103" s="15" t="s">
        <v>89</v>
      </c>
      <c r="G103" s="15" t="s">
        <v>120</v>
      </c>
      <c r="H103" s="15" t="s">
        <v>91</v>
      </c>
      <c r="I103" s="15" t="s">
        <v>92</v>
      </c>
      <c r="J103" s="15" t="s">
        <v>143</v>
      </c>
      <c r="K103" s="16" t="s">
        <v>144</v>
      </c>
      <c r="L103" s="16" t="s">
        <v>623</v>
      </c>
      <c r="M103" s="16" t="s">
        <v>624</v>
      </c>
      <c r="N103" s="15" t="s">
        <v>579</v>
      </c>
      <c r="O103" s="15" t="s">
        <v>98</v>
      </c>
      <c r="P103" s="15" t="s">
        <v>186</v>
      </c>
      <c r="Q103" s="15"/>
      <c r="R103" s="15" t="s">
        <v>127</v>
      </c>
      <c r="S103" s="15" t="str">
        <f>HYPERLINK("http://shopweb.tjgdyf.com:8090/snapshot/G_62/D_1337/p_1776/20200916132025.jpg","查看图片")</f>
        <v>查看图片</v>
      </c>
      <c r="T103" s="15" t="str">
        <f>HYPERLINK("http://ovopark.oss-cn-hangzhou.aliyuncs.com/2167_14243274330867_image_1600933901389.jpg","查看图片")</f>
        <v>查看图片</v>
      </c>
      <c r="U103" s="15" t="s">
        <v>7</v>
      </c>
      <c r="V103" s="15" t="s">
        <v>625</v>
      </c>
      <c r="W103" s="13" t="s">
        <v>137</v>
      </c>
      <c r="X103" s="13" t="s">
        <v>581</v>
      </c>
    </row>
    <row r="104" customHeight="1" spans="1:24">
      <c r="A104" s="15" t="s">
        <v>626</v>
      </c>
      <c r="B104" s="15" t="s">
        <v>8</v>
      </c>
      <c r="C104" s="15" t="s">
        <v>221</v>
      </c>
      <c r="D104" s="15" t="s">
        <v>222</v>
      </c>
      <c r="E104" s="15" t="s">
        <v>89</v>
      </c>
      <c r="F104" s="15" t="s">
        <v>89</v>
      </c>
      <c r="G104" s="15" t="s">
        <v>120</v>
      </c>
      <c r="H104" s="15" t="s">
        <v>91</v>
      </c>
      <c r="I104" s="15" t="s">
        <v>92</v>
      </c>
      <c r="J104" s="15" t="s">
        <v>155</v>
      </c>
      <c r="K104" s="16" t="s">
        <v>156</v>
      </c>
      <c r="L104" s="16" t="s">
        <v>627</v>
      </c>
      <c r="M104" s="16" t="s">
        <v>628</v>
      </c>
      <c r="N104" s="15" t="s">
        <v>579</v>
      </c>
      <c r="O104" s="15" t="s">
        <v>98</v>
      </c>
      <c r="P104" s="15" t="s">
        <v>186</v>
      </c>
      <c r="Q104" s="15"/>
      <c r="R104" s="15" t="s">
        <v>127</v>
      </c>
      <c r="S104" s="15" t="s">
        <v>114</v>
      </c>
      <c r="T104" s="15" t="str">
        <f>HYPERLINK("http://ovopark.oss-cn-hangzhou.aliyuncs.com/2167_13522908293485_image_1600932684946.jpg","查看图片")</f>
        <v>查看图片</v>
      </c>
      <c r="U104" s="15" t="s">
        <v>7</v>
      </c>
      <c r="V104" s="15" t="s">
        <v>629</v>
      </c>
      <c r="W104" s="13" t="s">
        <v>137</v>
      </c>
      <c r="X104" s="13" t="s">
        <v>581</v>
      </c>
    </row>
    <row r="105" customHeight="1" spans="1:24">
      <c r="A105" s="15" t="s">
        <v>630</v>
      </c>
      <c r="B105" s="15" t="s">
        <v>8</v>
      </c>
      <c r="C105" s="15" t="s">
        <v>221</v>
      </c>
      <c r="D105" s="15" t="s">
        <v>222</v>
      </c>
      <c r="E105" s="15" t="s">
        <v>89</v>
      </c>
      <c r="F105" s="15" t="s">
        <v>89</v>
      </c>
      <c r="G105" s="15" t="s">
        <v>120</v>
      </c>
      <c r="H105" s="15" t="s">
        <v>91</v>
      </c>
      <c r="I105" s="15" t="s">
        <v>92</v>
      </c>
      <c r="J105" s="15" t="s">
        <v>155</v>
      </c>
      <c r="K105" s="16" t="s">
        <v>156</v>
      </c>
      <c r="L105" s="16" t="s">
        <v>631</v>
      </c>
      <c r="M105" s="16" t="s">
        <v>632</v>
      </c>
      <c r="N105" s="15" t="s">
        <v>579</v>
      </c>
      <c r="O105" s="15" t="s">
        <v>98</v>
      </c>
      <c r="P105" s="15" t="s">
        <v>186</v>
      </c>
      <c r="Q105" s="15"/>
      <c r="R105" s="15" t="s">
        <v>127</v>
      </c>
      <c r="S105" s="15" t="s">
        <v>114</v>
      </c>
      <c r="T105" s="15" t="str">
        <f>HYPERLINK("http://ovopark.oss-cn-hangzhou.aliyuncs.com/2167_13869022449030_image_1600933292793.jpg","查看图片")</f>
        <v>查看图片</v>
      </c>
      <c r="U105" s="15" t="s">
        <v>7</v>
      </c>
      <c r="V105" s="15" t="s">
        <v>633</v>
      </c>
      <c r="W105" s="13" t="s">
        <v>137</v>
      </c>
      <c r="X105" s="13" t="s">
        <v>581</v>
      </c>
    </row>
    <row r="106" customHeight="1" spans="1:24">
      <c r="A106" s="15" t="s">
        <v>634</v>
      </c>
      <c r="B106" s="15" t="s">
        <v>8</v>
      </c>
      <c r="C106" s="15" t="s">
        <v>221</v>
      </c>
      <c r="D106" s="15" t="s">
        <v>222</v>
      </c>
      <c r="E106" s="15" t="s">
        <v>89</v>
      </c>
      <c r="F106" s="15" t="s">
        <v>89</v>
      </c>
      <c r="G106" s="15" t="s">
        <v>120</v>
      </c>
      <c r="H106" s="15" t="s">
        <v>91</v>
      </c>
      <c r="I106" s="15" t="s">
        <v>92</v>
      </c>
      <c r="J106" s="15" t="s">
        <v>155</v>
      </c>
      <c r="K106" s="16" t="s">
        <v>156</v>
      </c>
      <c r="L106" s="16" t="s">
        <v>635</v>
      </c>
      <c r="M106" s="16" t="s">
        <v>636</v>
      </c>
      <c r="N106" s="15" t="s">
        <v>579</v>
      </c>
      <c r="O106" s="15" t="s">
        <v>98</v>
      </c>
      <c r="P106" s="15" t="s">
        <v>186</v>
      </c>
      <c r="Q106" s="15"/>
      <c r="R106" s="15" t="s">
        <v>127</v>
      </c>
      <c r="S106" s="15" t="s">
        <v>114</v>
      </c>
      <c r="T106" s="15" t="str">
        <f>HYPERLINK("http://ovopark.oss-cn-hangzhou.aliyuncs.com/2167_13920326325886_image_1600933344860.jpg","查看图片")</f>
        <v>查看图片</v>
      </c>
      <c r="U106" s="15" t="s">
        <v>7</v>
      </c>
      <c r="V106" s="15" t="s">
        <v>637</v>
      </c>
      <c r="W106" s="13" t="s">
        <v>137</v>
      </c>
      <c r="X106" s="13" t="s">
        <v>581</v>
      </c>
    </row>
    <row r="107" customHeight="1" spans="1:24">
      <c r="A107" s="15" t="s">
        <v>638</v>
      </c>
      <c r="B107" s="15" t="s">
        <v>21</v>
      </c>
      <c r="C107" s="15" t="s">
        <v>221</v>
      </c>
      <c r="D107" s="15" t="s">
        <v>222</v>
      </c>
      <c r="E107" s="15" t="s">
        <v>89</v>
      </c>
      <c r="F107" s="15" t="s">
        <v>89</v>
      </c>
      <c r="G107" s="15" t="s">
        <v>120</v>
      </c>
      <c r="H107" s="15" t="s">
        <v>91</v>
      </c>
      <c r="I107" s="15" t="s">
        <v>92</v>
      </c>
      <c r="J107" s="15" t="s">
        <v>264</v>
      </c>
      <c r="K107" s="16" t="s">
        <v>265</v>
      </c>
      <c r="L107" s="16" t="s">
        <v>639</v>
      </c>
      <c r="M107" s="16" t="s">
        <v>640</v>
      </c>
      <c r="N107" s="15" t="s">
        <v>195</v>
      </c>
      <c r="O107" s="15" t="s">
        <v>98</v>
      </c>
      <c r="P107" s="15" t="s">
        <v>186</v>
      </c>
      <c r="Q107" s="15"/>
      <c r="R107" s="15" t="s">
        <v>127</v>
      </c>
      <c r="S107" s="15" t="str">
        <f>HYPERLINK("http://shopweb.tjgdyf.com:8090/snapshot/G_62/D_1311/p_19326/20200910152309.jpg","查看图片")</f>
        <v>查看图片</v>
      </c>
      <c r="T107" s="15" t="str">
        <f>HYPERLINK("http://ovopark.oss-cn-hangzhou.aliyuncs.com/202009241543467755.jpeg","查看图片")</f>
        <v>查看图片</v>
      </c>
      <c r="U107" s="15" t="s">
        <v>7</v>
      </c>
      <c r="V107" s="15" t="s">
        <v>641</v>
      </c>
      <c r="W107" s="13" t="s">
        <v>137</v>
      </c>
      <c r="X107" s="13" t="s">
        <v>197</v>
      </c>
    </row>
    <row r="108" customHeight="1" spans="1:24">
      <c r="A108" s="15" t="s">
        <v>642</v>
      </c>
      <c r="B108" s="15" t="s">
        <v>8</v>
      </c>
      <c r="C108" s="15" t="s">
        <v>152</v>
      </c>
      <c r="D108" s="15" t="s">
        <v>168</v>
      </c>
      <c r="E108" s="15" t="s">
        <v>154</v>
      </c>
      <c r="F108" s="15" t="s">
        <v>89</v>
      </c>
      <c r="G108" s="15" t="s">
        <v>120</v>
      </c>
      <c r="H108" s="15" t="s">
        <v>91</v>
      </c>
      <c r="I108" s="15" t="s">
        <v>92</v>
      </c>
      <c r="J108" s="15" t="s">
        <v>143</v>
      </c>
      <c r="K108" s="16" t="s">
        <v>144</v>
      </c>
      <c r="L108" s="16" t="s">
        <v>643</v>
      </c>
      <c r="M108" s="16" t="s">
        <v>644</v>
      </c>
      <c r="N108" s="15" t="s">
        <v>579</v>
      </c>
      <c r="O108" s="15" t="s">
        <v>98</v>
      </c>
      <c r="P108" s="15" t="s">
        <v>186</v>
      </c>
      <c r="Q108" s="15"/>
      <c r="R108" s="15" t="s">
        <v>127</v>
      </c>
      <c r="S108" s="15" t="str">
        <f>HYPERLINK("http://shopweb.tjgdyf.com:8090/snapshot/G_62/D_1337/p_1907/20200916132154.jpg","查看图片")</f>
        <v>查看图片</v>
      </c>
      <c r="T108" s="15" t="s">
        <v>114</v>
      </c>
      <c r="U108" s="15" t="s">
        <v>7</v>
      </c>
      <c r="V108" s="15" t="s">
        <v>645</v>
      </c>
      <c r="W108" s="13" t="s">
        <v>137</v>
      </c>
      <c r="X108" s="13" t="s">
        <v>581</v>
      </c>
    </row>
    <row r="109" customHeight="1" spans="1:24">
      <c r="A109" s="15" t="s">
        <v>646</v>
      </c>
      <c r="B109" s="15" t="s">
        <v>8</v>
      </c>
      <c r="C109" s="15" t="s">
        <v>152</v>
      </c>
      <c r="D109" s="15" t="s">
        <v>168</v>
      </c>
      <c r="E109" s="15" t="s">
        <v>154</v>
      </c>
      <c r="F109" s="15" t="s">
        <v>89</v>
      </c>
      <c r="G109" s="15" t="s">
        <v>120</v>
      </c>
      <c r="H109" s="15" t="s">
        <v>91</v>
      </c>
      <c r="I109" s="15" t="s">
        <v>92</v>
      </c>
      <c r="J109" s="15" t="s">
        <v>143</v>
      </c>
      <c r="K109" s="16" t="s">
        <v>144</v>
      </c>
      <c r="L109" s="16" t="s">
        <v>647</v>
      </c>
      <c r="M109" s="16" t="s">
        <v>648</v>
      </c>
      <c r="N109" s="15" t="s">
        <v>579</v>
      </c>
      <c r="O109" s="15" t="s">
        <v>98</v>
      </c>
      <c r="P109" s="15" t="s">
        <v>186</v>
      </c>
      <c r="Q109" s="15"/>
      <c r="R109" s="15" t="s">
        <v>127</v>
      </c>
      <c r="S109" s="15" t="str">
        <f>HYPERLINK("http://shopweb.tjgdyf.com:8090/snapshot/G_62/D_1337/p_1911/20200916132141.jpg","查看图片")</f>
        <v>查看图片</v>
      </c>
      <c r="T109" s="15" t="str">
        <f>HYPERLINK("http://ovopark.oss-cn-hangzhou.aliyuncs.com/2167_14139387059656_image_1600933797706.jpg","查看图片")</f>
        <v>查看图片</v>
      </c>
      <c r="U109" s="15" t="s">
        <v>7</v>
      </c>
      <c r="V109" s="15" t="s">
        <v>649</v>
      </c>
      <c r="W109" s="13" t="s">
        <v>137</v>
      </c>
      <c r="X109" s="13" t="s">
        <v>581</v>
      </c>
    </row>
    <row r="110" customHeight="1" spans="1:24">
      <c r="A110" s="15" t="s">
        <v>650</v>
      </c>
      <c r="B110" s="15" t="s">
        <v>45</v>
      </c>
      <c r="C110" s="15" t="s">
        <v>190</v>
      </c>
      <c r="D110" s="15" t="s">
        <v>191</v>
      </c>
      <c r="E110" s="15" t="s">
        <v>154</v>
      </c>
      <c r="F110" s="15" t="s">
        <v>89</v>
      </c>
      <c r="G110" s="15" t="s">
        <v>120</v>
      </c>
      <c r="H110" s="15" t="s">
        <v>91</v>
      </c>
      <c r="I110" s="15" t="s">
        <v>92</v>
      </c>
      <c r="J110" s="15" t="s">
        <v>143</v>
      </c>
      <c r="K110" s="16" t="s">
        <v>144</v>
      </c>
      <c r="L110" s="16" t="s">
        <v>651</v>
      </c>
      <c r="M110" s="16" t="s">
        <v>652</v>
      </c>
      <c r="N110" s="15" t="s">
        <v>492</v>
      </c>
      <c r="O110" s="15" t="s">
        <v>98</v>
      </c>
      <c r="P110" s="15" t="s">
        <v>160</v>
      </c>
      <c r="Q110" s="15"/>
      <c r="R110" s="15" t="s">
        <v>127</v>
      </c>
      <c r="S110" s="15" t="str">
        <f>HYPERLINK("http://shopweb.tjgdyf.com:8090/snapshot/G_62/D_1287/p_167/20200916233416.jpg","查看图片")</f>
        <v>查看图片</v>
      </c>
      <c r="T110" s="15" t="str">
        <f>HYPERLINK("http://ovopark.oss-cn-hangzhou.aliyuncs.com/2072_1034997464560_image_1600928244476.jpg","查看图片")</f>
        <v>查看图片</v>
      </c>
      <c r="U110" s="15" t="s">
        <v>7</v>
      </c>
      <c r="V110" s="15" t="s">
        <v>653</v>
      </c>
      <c r="W110" s="13" t="s">
        <v>137</v>
      </c>
      <c r="X110" s="13" t="s">
        <v>494</v>
      </c>
    </row>
    <row r="111" customHeight="1" spans="1:24">
      <c r="A111" s="15" t="s">
        <v>654</v>
      </c>
      <c r="B111" s="15" t="s">
        <v>655</v>
      </c>
      <c r="C111" s="15" t="s">
        <v>656</v>
      </c>
      <c r="D111" s="15" t="s">
        <v>657</v>
      </c>
      <c r="E111" s="15" t="s">
        <v>658</v>
      </c>
      <c r="F111" s="15" t="s">
        <v>89</v>
      </c>
      <c r="G111" s="15" t="s">
        <v>120</v>
      </c>
      <c r="H111" s="15" t="s">
        <v>91</v>
      </c>
      <c r="I111" s="15" t="s">
        <v>92</v>
      </c>
      <c r="J111" s="15" t="s">
        <v>169</v>
      </c>
      <c r="K111" s="16" t="s">
        <v>170</v>
      </c>
      <c r="L111" s="16" t="s">
        <v>659</v>
      </c>
      <c r="M111" s="16" t="s">
        <v>660</v>
      </c>
      <c r="N111" s="15" t="s">
        <v>661</v>
      </c>
      <c r="O111" s="15" t="s">
        <v>98</v>
      </c>
      <c r="P111" s="15" t="s">
        <v>662</v>
      </c>
      <c r="Q111" s="15"/>
      <c r="R111" s="15" t="s">
        <v>663</v>
      </c>
      <c r="S111" s="15" t="s">
        <v>114</v>
      </c>
      <c r="T111" s="15" t="s">
        <v>114</v>
      </c>
      <c r="U111" s="15" t="s">
        <v>15</v>
      </c>
      <c r="V111" s="15" t="s">
        <v>664</v>
      </c>
      <c r="W111" s="13" t="s">
        <v>102</v>
      </c>
      <c r="X111" s="13" t="s">
        <v>665</v>
      </c>
    </row>
    <row r="112" customHeight="1" spans="1:24">
      <c r="A112" s="15" t="s">
        <v>666</v>
      </c>
      <c r="B112" s="15" t="s">
        <v>655</v>
      </c>
      <c r="C112" s="15" t="s">
        <v>667</v>
      </c>
      <c r="D112" s="15" t="s">
        <v>668</v>
      </c>
      <c r="E112" s="15" t="s">
        <v>658</v>
      </c>
      <c r="F112" s="15" t="s">
        <v>89</v>
      </c>
      <c r="G112" s="15" t="s">
        <v>120</v>
      </c>
      <c r="H112" s="15" t="s">
        <v>91</v>
      </c>
      <c r="I112" s="15" t="s">
        <v>92</v>
      </c>
      <c r="J112" s="15" t="s">
        <v>169</v>
      </c>
      <c r="K112" s="16" t="s">
        <v>170</v>
      </c>
      <c r="L112" s="16" t="s">
        <v>669</v>
      </c>
      <c r="M112" s="16" t="s">
        <v>670</v>
      </c>
      <c r="N112" s="15" t="s">
        <v>661</v>
      </c>
      <c r="O112" s="15" t="s">
        <v>98</v>
      </c>
      <c r="P112" s="15" t="s">
        <v>662</v>
      </c>
      <c r="Q112" s="15"/>
      <c r="R112" s="15" t="s">
        <v>671</v>
      </c>
      <c r="S112" s="15" t="str">
        <f>HYPERLINK("http://ovopark.oss-cn-hangzhou.aliyuncs.com/20200909163214452.jpeg?x-oss-process=image/resize,w_700,l_700","查看图片")</f>
        <v>查看图片</v>
      </c>
      <c r="T112" s="15" t="str">
        <f>HYPERLINK("http://ovopark.oss-cn-hangzhou.aliyuncs.com/2132_160167302491231_image_1599654741061.jpg","查看图片")</f>
        <v>查看图片</v>
      </c>
      <c r="U112" s="15" t="s">
        <v>15</v>
      </c>
      <c r="V112" s="15" t="s">
        <v>672</v>
      </c>
      <c r="W112" s="13" t="s">
        <v>102</v>
      </c>
      <c r="X112" s="13" t="s">
        <v>665</v>
      </c>
    </row>
    <row r="113" customHeight="1" spans="1:24">
      <c r="A113" s="15" t="s">
        <v>673</v>
      </c>
      <c r="B113" s="15" t="s">
        <v>674</v>
      </c>
      <c r="C113" s="15" t="s">
        <v>675</v>
      </c>
      <c r="D113" s="15" t="s">
        <v>676</v>
      </c>
      <c r="E113" s="15" t="s">
        <v>119</v>
      </c>
      <c r="F113" s="15" t="s">
        <v>89</v>
      </c>
      <c r="G113" s="15" t="s">
        <v>120</v>
      </c>
      <c r="H113" s="15" t="s">
        <v>91</v>
      </c>
      <c r="I113" s="15" t="s">
        <v>92</v>
      </c>
      <c r="J113" s="15" t="s">
        <v>169</v>
      </c>
      <c r="K113" s="16" t="s">
        <v>170</v>
      </c>
      <c r="L113" s="16" t="s">
        <v>677</v>
      </c>
      <c r="M113" s="16" t="s">
        <v>678</v>
      </c>
      <c r="N113" s="15" t="s">
        <v>679</v>
      </c>
      <c r="O113" s="15" t="s">
        <v>98</v>
      </c>
      <c r="P113" s="15" t="s">
        <v>662</v>
      </c>
      <c r="Q113" s="15"/>
      <c r="R113" s="15" t="s">
        <v>680</v>
      </c>
      <c r="S113" s="15" t="s">
        <v>114</v>
      </c>
      <c r="T113" s="15" t="str">
        <f>HYPERLINK("http://ovopark.oss-cn-hangzhou.aliyuncs.com/2011_386287770583942_image_1599724089433.jpg","查看图片")</f>
        <v>查看图片</v>
      </c>
      <c r="U113" s="15" t="s">
        <v>15</v>
      </c>
      <c r="V113" s="15" t="s">
        <v>681</v>
      </c>
      <c r="W113" s="13" t="s">
        <v>102</v>
      </c>
      <c r="X113" s="13" t="s">
        <v>665</v>
      </c>
    </row>
    <row r="114" customHeight="1" spans="1:24">
      <c r="A114" s="15" t="s">
        <v>682</v>
      </c>
      <c r="B114" s="15" t="s">
        <v>674</v>
      </c>
      <c r="C114" s="15" t="s">
        <v>337</v>
      </c>
      <c r="D114" s="15" t="s">
        <v>683</v>
      </c>
      <c r="E114" s="15" t="s">
        <v>428</v>
      </c>
      <c r="F114" s="15" t="s">
        <v>89</v>
      </c>
      <c r="G114" s="15" t="s">
        <v>120</v>
      </c>
      <c r="H114" s="15" t="s">
        <v>91</v>
      </c>
      <c r="I114" s="15" t="s">
        <v>92</v>
      </c>
      <c r="J114" s="15" t="s">
        <v>169</v>
      </c>
      <c r="K114" s="16" t="s">
        <v>170</v>
      </c>
      <c r="L114" s="16" t="s">
        <v>684</v>
      </c>
      <c r="M114" s="16" t="s">
        <v>685</v>
      </c>
      <c r="N114" s="15" t="s">
        <v>679</v>
      </c>
      <c r="O114" s="15" t="s">
        <v>98</v>
      </c>
      <c r="P114" s="15" t="s">
        <v>662</v>
      </c>
      <c r="Q114" s="15"/>
      <c r="R114" s="15" t="s">
        <v>686</v>
      </c>
      <c r="S114" s="15" t="str">
        <f>HYPERLINK("http://ovopark.oss-cn-hangzhou.aliyuncs.com/202009091049115946.jpeg?x-oss-process=image/resize,w_700,l_700","查看图片")</f>
        <v>查看图片</v>
      </c>
      <c r="T114" s="15" t="str">
        <f>HYPERLINK("http://ovopark.oss-cn-hangzhou.aliyuncs.com/2011_386360941819331_image_1599724152386.jpg","查看图片")</f>
        <v>查看图片</v>
      </c>
      <c r="U114" s="15" t="s">
        <v>15</v>
      </c>
      <c r="V114" s="15" t="s">
        <v>687</v>
      </c>
      <c r="W114" s="13" t="s">
        <v>102</v>
      </c>
      <c r="X114" s="13" t="s">
        <v>665</v>
      </c>
    </row>
    <row r="115" customHeight="1" spans="1:24">
      <c r="A115" s="15" t="s">
        <v>688</v>
      </c>
      <c r="B115" s="15" t="s">
        <v>674</v>
      </c>
      <c r="C115" s="15" t="s">
        <v>337</v>
      </c>
      <c r="D115" s="15" t="s">
        <v>689</v>
      </c>
      <c r="E115" s="15" t="s">
        <v>658</v>
      </c>
      <c r="F115" s="15" t="s">
        <v>89</v>
      </c>
      <c r="G115" s="15" t="s">
        <v>120</v>
      </c>
      <c r="H115" s="15" t="s">
        <v>91</v>
      </c>
      <c r="I115" s="15" t="s">
        <v>92</v>
      </c>
      <c r="J115" s="15" t="s">
        <v>169</v>
      </c>
      <c r="K115" s="16" t="s">
        <v>170</v>
      </c>
      <c r="L115" s="16" t="s">
        <v>690</v>
      </c>
      <c r="M115" s="16" t="s">
        <v>691</v>
      </c>
      <c r="N115" s="15" t="s">
        <v>679</v>
      </c>
      <c r="O115" s="15" t="s">
        <v>98</v>
      </c>
      <c r="P115" s="15" t="s">
        <v>662</v>
      </c>
      <c r="Q115" s="15"/>
      <c r="R115" s="15" t="s">
        <v>692</v>
      </c>
      <c r="S115" s="15" t="str">
        <f>HYPERLINK("http://ovopark.oss-cn-hangzhou.aliyuncs.com/202009091057586934.jpeg?x-oss-process=image/resize,w_700,l_700","查看图片")</f>
        <v>查看图片</v>
      </c>
      <c r="T115" s="15" t="str">
        <f>HYPERLINK("http://ovopark.oss-cn-hangzhou.aliyuncs.com/2011_386400147829718_image_1599724199822.jpg","查看图片")</f>
        <v>查看图片</v>
      </c>
      <c r="U115" s="15" t="s">
        <v>15</v>
      </c>
      <c r="V115" s="15" t="s">
        <v>693</v>
      </c>
      <c r="W115" s="13" t="s">
        <v>102</v>
      </c>
      <c r="X115" s="13" t="s">
        <v>665</v>
      </c>
    </row>
    <row r="116" customHeight="1" spans="1:24">
      <c r="A116" s="15" t="s">
        <v>694</v>
      </c>
      <c r="B116" s="15" t="s">
        <v>674</v>
      </c>
      <c r="C116" s="15" t="s">
        <v>434</v>
      </c>
      <c r="D116" s="15" t="s">
        <v>695</v>
      </c>
      <c r="E116" s="15" t="s">
        <v>119</v>
      </c>
      <c r="F116" s="15" t="s">
        <v>89</v>
      </c>
      <c r="G116" s="15" t="s">
        <v>120</v>
      </c>
      <c r="H116" s="15" t="s">
        <v>91</v>
      </c>
      <c r="I116" s="15" t="s">
        <v>92</v>
      </c>
      <c r="J116" s="15" t="s">
        <v>169</v>
      </c>
      <c r="K116" s="16" t="s">
        <v>170</v>
      </c>
      <c r="L116" s="16" t="s">
        <v>696</v>
      </c>
      <c r="M116" s="16" t="s">
        <v>697</v>
      </c>
      <c r="N116" s="15" t="s">
        <v>679</v>
      </c>
      <c r="O116" s="15" t="s">
        <v>98</v>
      </c>
      <c r="P116" s="15" t="s">
        <v>662</v>
      </c>
      <c r="Q116" s="15"/>
      <c r="R116" s="15" t="s">
        <v>698</v>
      </c>
      <c r="S116" s="15" t="str">
        <f>HYPERLINK("http://ovopark.oss-cn-hangzhou.aliyuncs.com/202009091152236381.jpeg?x-oss-process=image/resize,w_700,l_700","查看图片")</f>
        <v>查看图片</v>
      </c>
      <c r="T116" s="15" t="str">
        <f>HYPERLINK("http://ovopark.oss-cn-hangzhou.aliyuncs.com/2011_386420965507565_image_1599724223842.jpg","查看图片")</f>
        <v>查看图片</v>
      </c>
      <c r="U116" s="15" t="s">
        <v>15</v>
      </c>
      <c r="V116" s="15" t="s">
        <v>699</v>
      </c>
      <c r="W116" s="13" t="s">
        <v>102</v>
      </c>
      <c r="X116" s="13" t="s">
        <v>665</v>
      </c>
    </row>
    <row r="117" customHeight="1" spans="1:24">
      <c r="A117" s="15" t="s">
        <v>700</v>
      </c>
      <c r="B117" s="15" t="s">
        <v>674</v>
      </c>
      <c r="C117" s="15" t="s">
        <v>701</v>
      </c>
      <c r="D117" s="15" t="s">
        <v>702</v>
      </c>
      <c r="E117" s="15" t="s">
        <v>428</v>
      </c>
      <c r="F117" s="15" t="s">
        <v>89</v>
      </c>
      <c r="G117" s="15" t="s">
        <v>120</v>
      </c>
      <c r="H117" s="15" t="s">
        <v>91</v>
      </c>
      <c r="I117" s="15" t="s">
        <v>92</v>
      </c>
      <c r="J117" s="15" t="s">
        <v>169</v>
      </c>
      <c r="K117" s="16" t="s">
        <v>170</v>
      </c>
      <c r="L117" s="16" t="s">
        <v>703</v>
      </c>
      <c r="M117" s="16" t="s">
        <v>704</v>
      </c>
      <c r="N117" s="15" t="s">
        <v>679</v>
      </c>
      <c r="O117" s="15" t="s">
        <v>98</v>
      </c>
      <c r="P117" s="15" t="s">
        <v>662</v>
      </c>
      <c r="Q117" s="15"/>
      <c r="R117" s="15" t="s">
        <v>705</v>
      </c>
      <c r="S117" s="15" t="s">
        <v>114</v>
      </c>
      <c r="T117" s="15" t="s">
        <v>114</v>
      </c>
      <c r="U117" s="15" t="s">
        <v>15</v>
      </c>
      <c r="V117" s="15" t="s">
        <v>706</v>
      </c>
      <c r="W117" s="13" t="s">
        <v>102</v>
      </c>
      <c r="X117" s="13" t="s">
        <v>665</v>
      </c>
    </row>
    <row r="118" customHeight="1" spans="1:24">
      <c r="A118" s="15" t="s">
        <v>707</v>
      </c>
      <c r="B118" s="15" t="s">
        <v>708</v>
      </c>
      <c r="C118" s="15" t="s">
        <v>337</v>
      </c>
      <c r="D118" s="15" t="s">
        <v>709</v>
      </c>
      <c r="E118" s="15" t="s">
        <v>428</v>
      </c>
      <c r="F118" s="15" t="s">
        <v>89</v>
      </c>
      <c r="G118" s="15" t="s">
        <v>120</v>
      </c>
      <c r="H118" s="15" t="s">
        <v>91</v>
      </c>
      <c r="I118" s="15" t="s">
        <v>92</v>
      </c>
      <c r="J118" s="15" t="s">
        <v>169</v>
      </c>
      <c r="K118" s="16" t="s">
        <v>170</v>
      </c>
      <c r="L118" s="16" t="s">
        <v>710</v>
      </c>
      <c r="M118" s="16" t="s">
        <v>711</v>
      </c>
      <c r="N118" s="15" t="s">
        <v>712</v>
      </c>
      <c r="O118" s="15" t="s">
        <v>98</v>
      </c>
      <c r="P118" s="15" t="s">
        <v>662</v>
      </c>
      <c r="Q118" s="15"/>
      <c r="R118" s="15" t="s">
        <v>713</v>
      </c>
      <c r="S118" s="15" t="str">
        <f>HYPERLINK("http://ovopark.oss-cn-hangzhou.aliyuncs.com/202009091439555025.jpeg?x-oss-process=image/resize,w_700,l_700","查看图片")</f>
        <v>查看图片</v>
      </c>
      <c r="T118" s="15" t="str">
        <f>HYPERLINK("http://ovopark.oss-cn-hangzhou.aliyuncs.com/5536_53754345591243_image_1599809923109.jpg","查看图片")</f>
        <v>查看图片</v>
      </c>
      <c r="U118" s="15" t="s">
        <v>15</v>
      </c>
      <c r="V118" s="15" t="s">
        <v>714</v>
      </c>
      <c r="W118" s="13" t="s">
        <v>102</v>
      </c>
      <c r="X118" s="13" t="s">
        <v>665</v>
      </c>
    </row>
    <row r="119" customHeight="1" spans="1:24">
      <c r="A119" s="15" t="s">
        <v>715</v>
      </c>
      <c r="B119" s="15" t="s">
        <v>708</v>
      </c>
      <c r="C119" s="15" t="s">
        <v>337</v>
      </c>
      <c r="D119" s="15" t="s">
        <v>716</v>
      </c>
      <c r="E119" s="15" t="s">
        <v>119</v>
      </c>
      <c r="F119" s="15" t="s">
        <v>89</v>
      </c>
      <c r="G119" s="15" t="s">
        <v>120</v>
      </c>
      <c r="H119" s="15" t="s">
        <v>91</v>
      </c>
      <c r="I119" s="15" t="s">
        <v>92</v>
      </c>
      <c r="J119" s="15" t="s">
        <v>169</v>
      </c>
      <c r="K119" s="16" t="s">
        <v>170</v>
      </c>
      <c r="L119" s="16" t="s">
        <v>717</v>
      </c>
      <c r="M119" s="16" t="s">
        <v>718</v>
      </c>
      <c r="N119" s="15" t="s">
        <v>712</v>
      </c>
      <c r="O119" s="15" t="s">
        <v>98</v>
      </c>
      <c r="P119" s="15" t="s">
        <v>662</v>
      </c>
      <c r="Q119" s="15"/>
      <c r="R119" s="15" t="s">
        <v>719</v>
      </c>
      <c r="S119" s="15" t="str">
        <f>HYPERLINK("http://ovopark.oss-cn-hangzhou.aliyuncs.com/202009091517016821.jpeg?x-oss-process=image/resize,w_700,l_700","查看图片")</f>
        <v>查看图片</v>
      </c>
      <c r="T119" s="15" t="str">
        <f>HYPERLINK("http://ovopark.oss-cn-hangzhou.aliyuncs.com/5536_53774537025615_image_1599809944120.jpg","查看图片")</f>
        <v>查看图片</v>
      </c>
      <c r="U119" s="15" t="s">
        <v>15</v>
      </c>
      <c r="V119" s="15" t="s">
        <v>720</v>
      </c>
      <c r="W119" s="13" t="s">
        <v>102</v>
      </c>
      <c r="X119" s="13" t="s">
        <v>665</v>
      </c>
    </row>
    <row r="120" customHeight="1" spans="1:24">
      <c r="A120" s="15" t="s">
        <v>721</v>
      </c>
      <c r="B120" s="15" t="s">
        <v>708</v>
      </c>
      <c r="C120" s="15" t="s">
        <v>701</v>
      </c>
      <c r="D120" s="15" t="s">
        <v>722</v>
      </c>
      <c r="E120" s="15" t="s">
        <v>428</v>
      </c>
      <c r="F120" s="15" t="s">
        <v>89</v>
      </c>
      <c r="G120" s="15" t="s">
        <v>120</v>
      </c>
      <c r="H120" s="15" t="s">
        <v>91</v>
      </c>
      <c r="I120" s="15" t="s">
        <v>92</v>
      </c>
      <c r="J120" s="15" t="s">
        <v>169</v>
      </c>
      <c r="K120" s="16" t="s">
        <v>170</v>
      </c>
      <c r="L120" s="16" t="s">
        <v>723</v>
      </c>
      <c r="M120" s="16" t="s">
        <v>724</v>
      </c>
      <c r="N120" s="15" t="s">
        <v>712</v>
      </c>
      <c r="O120" s="15" t="s">
        <v>98</v>
      </c>
      <c r="P120" s="15" t="s">
        <v>662</v>
      </c>
      <c r="Q120" s="15"/>
      <c r="R120" s="15" t="s">
        <v>725</v>
      </c>
      <c r="S120" s="15" t="s">
        <v>114</v>
      </c>
      <c r="T120" s="15" t="str">
        <f>HYPERLINK("http://ovopark.oss-cn-hangzhou.aliyuncs.com/5536_53944549255798_image_1599810512713.jpg","查看图片")</f>
        <v>查看图片</v>
      </c>
      <c r="U120" s="15" t="s">
        <v>15</v>
      </c>
      <c r="V120" s="15" t="s">
        <v>726</v>
      </c>
      <c r="W120" s="13" t="s">
        <v>102</v>
      </c>
      <c r="X120" s="13" t="s">
        <v>665</v>
      </c>
    </row>
    <row r="121" customHeight="1" spans="1:24">
      <c r="A121" s="15" t="s">
        <v>727</v>
      </c>
      <c r="B121" s="15" t="s">
        <v>708</v>
      </c>
      <c r="C121" s="15" t="s">
        <v>434</v>
      </c>
      <c r="D121" s="15" t="s">
        <v>728</v>
      </c>
      <c r="E121" s="15" t="s">
        <v>658</v>
      </c>
      <c r="F121" s="15" t="s">
        <v>89</v>
      </c>
      <c r="G121" s="15" t="s">
        <v>120</v>
      </c>
      <c r="H121" s="15" t="s">
        <v>91</v>
      </c>
      <c r="I121" s="15" t="s">
        <v>92</v>
      </c>
      <c r="J121" s="15" t="s">
        <v>169</v>
      </c>
      <c r="K121" s="16" t="s">
        <v>170</v>
      </c>
      <c r="L121" s="16" t="s">
        <v>729</v>
      </c>
      <c r="M121" s="16" t="s">
        <v>730</v>
      </c>
      <c r="N121" s="15" t="s">
        <v>712</v>
      </c>
      <c r="O121" s="15" t="s">
        <v>98</v>
      </c>
      <c r="P121" s="15" t="s">
        <v>662</v>
      </c>
      <c r="Q121" s="15"/>
      <c r="R121" s="15" t="s">
        <v>731</v>
      </c>
      <c r="S121" s="15" t="s">
        <v>114</v>
      </c>
      <c r="T121" s="15" t="str">
        <f>HYPERLINK("http://ovopark.oss-cn-hangzhou.aliyuncs.com/5536_53968221786523_image_1599810535683.jpg","查看图片")</f>
        <v>查看图片</v>
      </c>
      <c r="U121" s="15" t="s">
        <v>15</v>
      </c>
      <c r="V121" s="15" t="s">
        <v>732</v>
      </c>
      <c r="W121" s="13" t="s">
        <v>102</v>
      </c>
      <c r="X121" s="13" t="s">
        <v>665</v>
      </c>
    </row>
    <row r="122" customHeight="1" spans="1:24">
      <c r="A122" s="15" t="s">
        <v>733</v>
      </c>
      <c r="B122" s="15" t="s">
        <v>655</v>
      </c>
      <c r="C122" s="15" t="s">
        <v>337</v>
      </c>
      <c r="D122" s="15" t="s">
        <v>734</v>
      </c>
      <c r="E122" s="15" t="s">
        <v>658</v>
      </c>
      <c r="F122" s="15" t="s">
        <v>89</v>
      </c>
      <c r="G122" s="15" t="s">
        <v>120</v>
      </c>
      <c r="H122" s="15" t="s">
        <v>91</v>
      </c>
      <c r="I122" s="15" t="s">
        <v>92</v>
      </c>
      <c r="J122" s="15" t="s">
        <v>169</v>
      </c>
      <c r="K122" s="16" t="s">
        <v>170</v>
      </c>
      <c r="L122" s="16" t="s">
        <v>735</v>
      </c>
      <c r="M122" s="16" t="s">
        <v>736</v>
      </c>
      <c r="N122" s="15" t="s">
        <v>661</v>
      </c>
      <c r="O122" s="15" t="s">
        <v>98</v>
      </c>
      <c r="P122" s="15" t="s">
        <v>662</v>
      </c>
      <c r="Q122" s="15"/>
      <c r="R122" s="15" t="s">
        <v>737</v>
      </c>
      <c r="S122" s="15" t="str">
        <f>HYPERLINK("http://ovopark.oss-cn-hangzhou.aliyuncs.com/202009091624351890.jpeg?x-oss-process=image/resize,w_700,l_700","查看图片")</f>
        <v>查看图片</v>
      </c>
      <c r="T122" s="15" t="str">
        <f>HYPERLINK("http://ovopark.oss-cn-hangzhou.aliyuncs.com/2132_237318834512359_image_1599811884603.jpg","查看图片")</f>
        <v>查看图片</v>
      </c>
      <c r="U122" s="15" t="s">
        <v>15</v>
      </c>
      <c r="V122" s="15" t="s">
        <v>738</v>
      </c>
      <c r="W122" s="13" t="s">
        <v>102</v>
      </c>
      <c r="X122" s="13" t="s">
        <v>665</v>
      </c>
    </row>
    <row r="123" customHeight="1" spans="1:24">
      <c r="A123" s="15" t="s">
        <v>739</v>
      </c>
      <c r="B123" s="15" t="s">
        <v>655</v>
      </c>
      <c r="C123" s="15" t="s">
        <v>675</v>
      </c>
      <c r="D123" s="15" t="s">
        <v>740</v>
      </c>
      <c r="E123" s="15" t="s">
        <v>119</v>
      </c>
      <c r="F123" s="15" t="s">
        <v>89</v>
      </c>
      <c r="G123" s="15" t="s">
        <v>120</v>
      </c>
      <c r="H123" s="15" t="s">
        <v>91</v>
      </c>
      <c r="I123" s="15" t="s">
        <v>92</v>
      </c>
      <c r="J123" s="15" t="s">
        <v>169</v>
      </c>
      <c r="K123" s="16" t="s">
        <v>170</v>
      </c>
      <c r="L123" s="16" t="s">
        <v>741</v>
      </c>
      <c r="M123" s="16" t="s">
        <v>742</v>
      </c>
      <c r="N123" s="15" t="s">
        <v>661</v>
      </c>
      <c r="O123" s="15" t="s">
        <v>98</v>
      </c>
      <c r="P123" s="15" t="s">
        <v>662</v>
      </c>
      <c r="Q123" s="15"/>
      <c r="R123" s="15" t="s">
        <v>743</v>
      </c>
      <c r="S123" s="15" t="s">
        <v>114</v>
      </c>
      <c r="T123" s="15" t="str">
        <f>HYPERLINK("http://ovopark.oss-cn-hangzhou.aliyuncs.com/2132_237355059827269_image_1599811922339.jpg","查看图片")</f>
        <v>查看图片</v>
      </c>
      <c r="U123" s="15" t="s">
        <v>15</v>
      </c>
      <c r="V123" s="15" t="s">
        <v>744</v>
      </c>
      <c r="W123" s="13" t="s">
        <v>102</v>
      </c>
      <c r="X123" s="13" t="s">
        <v>665</v>
      </c>
    </row>
    <row r="124" customHeight="1" spans="1:24">
      <c r="A124" s="15" t="s">
        <v>745</v>
      </c>
      <c r="B124" s="15" t="s">
        <v>17</v>
      </c>
      <c r="C124" s="15" t="s">
        <v>746</v>
      </c>
      <c r="D124" s="15" t="s">
        <v>747</v>
      </c>
      <c r="E124" s="15" t="s">
        <v>119</v>
      </c>
      <c r="F124" s="15" t="s">
        <v>89</v>
      </c>
      <c r="G124" s="15" t="s">
        <v>120</v>
      </c>
      <c r="H124" s="15" t="s">
        <v>91</v>
      </c>
      <c r="I124" s="15" t="s">
        <v>92</v>
      </c>
      <c r="J124" s="15" t="s">
        <v>170</v>
      </c>
      <c r="K124" s="16" t="s">
        <v>181</v>
      </c>
      <c r="L124" s="16" t="s">
        <v>748</v>
      </c>
      <c r="M124" s="16" t="s">
        <v>749</v>
      </c>
      <c r="N124" s="15" t="s">
        <v>470</v>
      </c>
      <c r="O124" s="15" t="s">
        <v>98</v>
      </c>
      <c r="P124" s="15" t="s">
        <v>750</v>
      </c>
      <c r="Q124" s="15"/>
      <c r="R124" s="15" t="s">
        <v>127</v>
      </c>
      <c r="S124" s="15" t="str">
        <f>HYPERLINK("http://shopweb.tjgdyf.com:8090/snapshot/G_62/D_1920/p_18170/00141022bddc_20200912080209_1.jpg","查看图片")</f>
        <v>查看图片</v>
      </c>
      <c r="T124" s="15" t="s">
        <v>114</v>
      </c>
      <c r="U124" s="15" t="s">
        <v>7</v>
      </c>
      <c r="V124" s="15" t="s">
        <v>751</v>
      </c>
      <c r="W124" s="13" t="s">
        <v>137</v>
      </c>
      <c r="X124" s="13" t="s">
        <v>472</v>
      </c>
    </row>
    <row r="125" customHeight="1" spans="1:24">
      <c r="A125" s="15" t="s">
        <v>752</v>
      </c>
      <c r="B125" s="15" t="s">
        <v>41</v>
      </c>
      <c r="C125" s="15" t="s">
        <v>746</v>
      </c>
      <c r="D125" s="15" t="s">
        <v>747</v>
      </c>
      <c r="E125" s="15" t="s">
        <v>119</v>
      </c>
      <c r="F125" s="15" t="s">
        <v>89</v>
      </c>
      <c r="G125" s="15" t="s">
        <v>120</v>
      </c>
      <c r="H125" s="15" t="s">
        <v>91</v>
      </c>
      <c r="I125" s="15" t="s">
        <v>92</v>
      </c>
      <c r="J125" s="15" t="s">
        <v>170</v>
      </c>
      <c r="K125" s="16" t="s">
        <v>181</v>
      </c>
      <c r="L125" s="16" t="s">
        <v>753</v>
      </c>
      <c r="M125" s="16" t="s">
        <v>754</v>
      </c>
      <c r="N125" s="15" t="s">
        <v>513</v>
      </c>
      <c r="O125" s="15" t="s">
        <v>98</v>
      </c>
      <c r="P125" s="15" t="s">
        <v>750</v>
      </c>
      <c r="Q125" s="15"/>
      <c r="R125" s="15" t="s">
        <v>127</v>
      </c>
      <c r="S125" s="15" t="str">
        <f>HYPERLINK("http://shopweb.tjgdyf.com:8090/snapshot/G_62/D_1360/p_1749/0014101b91fd_20200912080209_1.jpg","查看图片")</f>
        <v>查看图片</v>
      </c>
      <c r="T125" s="15" t="s">
        <v>114</v>
      </c>
      <c r="U125" s="15" t="s">
        <v>7</v>
      </c>
      <c r="V125" s="15" t="s">
        <v>755</v>
      </c>
      <c r="W125" s="13" t="s">
        <v>137</v>
      </c>
      <c r="X125" s="13" t="s">
        <v>515</v>
      </c>
    </row>
    <row r="126" customHeight="1" spans="1:24">
      <c r="A126" s="15" t="s">
        <v>756</v>
      </c>
      <c r="B126" s="15" t="s">
        <v>28</v>
      </c>
      <c r="C126" s="15" t="s">
        <v>221</v>
      </c>
      <c r="D126" s="15" t="s">
        <v>222</v>
      </c>
      <c r="E126" s="15" t="s">
        <v>89</v>
      </c>
      <c r="F126" s="15" t="s">
        <v>89</v>
      </c>
      <c r="G126" s="15" t="s">
        <v>120</v>
      </c>
      <c r="H126" s="15" t="s">
        <v>91</v>
      </c>
      <c r="I126" s="15" t="s">
        <v>92</v>
      </c>
      <c r="J126" s="15" t="s">
        <v>155</v>
      </c>
      <c r="K126" s="16" t="s">
        <v>156</v>
      </c>
      <c r="L126" s="16" t="s">
        <v>757</v>
      </c>
      <c r="M126" s="16" t="s">
        <v>758</v>
      </c>
      <c r="N126" s="15" t="s">
        <v>333</v>
      </c>
      <c r="O126" s="15" t="s">
        <v>98</v>
      </c>
      <c r="P126" s="15" t="s">
        <v>186</v>
      </c>
      <c r="Q126" s="15"/>
      <c r="R126" s="15" t="s">
        <v>127</v>
      </c>
      <c r="S126" s="15" t="s">
        <v>114</v>
      </c>
      <c r="T126" s="15" t="str">
        <f>HYPERLINK("http://ovopark.oss-cn-hangzhou.aliyuncs.com/2039_117231603356883_image_1600851574641.jpg","查看图片")</f>
        <v>查看图片</v>
      </c>
      <c r="U126" s="15" t="s">
        <v>7</v>
      </c>
      <c r="V126" s="15" t="s">
        <v>759</v>
      </c>
      <c r="W126" s="13" t="s">
        <v>137</v>
      </c>
      <c r="X126" s="13" t="s">
        <v>335</v>
      </c>
    </row>
    <row r="127" customHeight="1" spans="1:24">
      <c r="A127" s="15" t="s">
        <v>760</v>
      </c>
      <c r="B127" s="15" t="s">
        <v>28</v>
      </c>
      <c r="C127" s="15" t="s">
        <v>212</v>
      </c>
      <c r="D127" s="15" t="s">
        <v>322</v>
      </c>
      <c r="E127" s="15" t="s">
        <v>154</v>
      </c>
      <c r="F127" s="15" t="s">
        <v>89</v>
      </c>
      <c r="G127" s="15" t="s">
        <v>120</v>
      </c>
      <c r="H127" s="15" t="s">
        <v>91</v>
      </c>
      <c r="I127" s="15" t="s">
        <v>92</v>
      </c>
      <c r="J127" s="15" t="s">
        <v>155</v>
      </c>
      <c r="K127" s="16" t="s">
        <v>156</v>
      </c>
      <c r="L127" s="16" t="s">
        <v>761</v>
      </c>
      <c r="M127" s="16" t="s">
        <v>762</v>
      </c>
      <c r="N127" s="15" t="s">
        <v>333</v>
      </c>
      <c r="O127" s="15" t="s">
        <v>98</v>
      </c>
      <c r="P127" s="15" t="s">
        <v>186</v>
      </c>
      <c r="Q127" s="15"/>
      <c r="R127" s="15" t="s">
        <v>127</v>
      </c>
      <c r="S127" s="15" t="s">
        <v>114</v>
      </c>
      <c r="T127" s="15" t="str">
        <f>HYPERLINK("http://ovopark.oss-cn-hangzhou.aliyuncs.com/2039_117256107010053_image_1600851601943.jpg","查看图片")</f>
        <v>查看图片</v>
      </c>
      <c r="U127" s="15" t="s">
        <v>7</v>
      </c>
      <c r="V127" s="15" t="s">
        <v>763</v>
      </c>
      <c r="W127" s="13" t="s">
        <v>137</v>
      </c>
      <c r="X127" s="13" t="s">
        <v>335</v>
      </c>
    </row>
    <row r="128" customHeight="1" spans="1:24">
      <c r="A128" s="15" t="s">
        <v>764</v>
      </c>
      <c r="B128" s="15" t="s">
        <v>28</v>
      </c>
      <c r="C128" s="15" t="s">
        <v>212</v>
      </c>
      <c r="D128" s="15" t="s">
        <v>408</v>
      </c>
      <c r="E128" s="15" t="s">
        <v>154</v>
      </c>
      <c r="F128" s="15" t="s">
        <v>89</v>
      </c>
      <c r="G128" s="15" t="s">
        <v>120</v>
      </c>
      <c r="H128" s="15" t="s">
        <v>91</v>
      </c>
      <c r="I128" s="15" t="s">
        <v>92</v>
      </c>
      <c r="J128" s="15" t="s">
        <v>181</v>
      </c>
      <c r="K128" s="16" t="s">
        <v>182</v>
      </c>
      <c r="L128" s="16" t="s">
        <v>765</v>
      </c>
      <c r="M128" s="16" t="s">
        <v>766</v>
      </c>
      <c r="N128" s="15" t="s">
        <v>333</v>
      </c>
      <c r="O128" s="15" t="s">
        <v>98</v>
      </c>
      <c r="P128" s="15" t="s">
        <v>186</v>
      </c>
      <c r="Q128" s="15"/>
      <c r="R128" s="15" t="s">
        <v>127</v>
      </c>
      <c r="S128" s="15" t="str">
        <f>HYPERLINK("http://ovopark.oss-cn-hangzhou.aliyuncs.com/1970_75293348128709_compress_75293591170688_image_1600158441757.jpg?x-oss-process=image/resize,w_700,l_700","查看图片")</f>
        <v>查看图片</v>
      </c>
      <c r="T128" s="15" t="s">
        <v>114</v>
      </c>
      <c r="U128" s="15" t="s">
        <v>15</v>
      </c>
      <c r="V128" s="15" t="s">
        <v>767</v>
      </c>
      <c r="W128" s="13" t="s">
        <v>137</v>
      </c>
      <c r="X128" s="13" t="s">
        <v>335</v>
      </c>
    </row>
    <row r="129" customHeight="1" spans="1:24">
      <c r="A129" s="15" t="s">
        <v>768</v>
      </c>
      <c r="B129" s="15" t="s">
        <v>28</v>
      </c>
      <c r="C129" s="15" t="s">
        <v>426</v>
      </c>
      <c r="D129" s="15" t="s">
        <v>427</v>
      </c>
      <c r="E129" s="15" t="s">
        <v>428</v>
      </c>
      <c r="F129" s="15" t="s">
        <v>89</v>
      </c>
      <c r="G129" s="15" t="s">
        <v>120</v>
      </c>
      <c r="H129" s="15" t="s">
        <v>91</v>
      </c>
      <c r="I129" s="15" t="s">
        <v>92</v>
      </c>
      <c r="J129" s="15" t="s">
        <v>181</v>
      </c>
      <c r="K129" s="16" t="s">
        <v>182</v>
      </c>
      <c r="L129" s="16" t="s">
        <v>769</v>
      </c>
      <c r="M129" s="16" t="s">
        <v>770</v>
      </c>
      <c r="N129" s="15" t="s">
        <v>333</v>
      </c>
      <c r="O129" s="15" t="s">
        <v>98</v>
      </c>
      <c r="P129" s="15" t="s">
        <v>186</v>
      </c>
      <c r="Q129" s="15"/>
      <c r="R129" s="15" t="s">
        <v>771</v>
      </c>
      <c r="S129" s="15" t="s">
        <v>114</v>
      </c>
      <c r="T129" s="15" t="str">
        <f>HYPERLINK("http://ovopark.oss-cn-hangzhou.aliyuncs.com/2039_117403445223273_image_1600851730254.jpg","查看图片")</f>
        <v>查看图片</v>
      </c>
      <c r="U129" s="15" t="s">
        <v>15</v>
      </c>
      <c r="V129" s="15" t="s">
        <v>772</v>
      </c>
      <c r="W129" s="13" t="s">
        <v>137</v>
      </c>
      <c r="X129" s="13" t="s">
        <v>335</v>
      </c>
    </row>
    <row r="130" customHeight="1" spans="1:24">
      <c r="A130" s="15" t="s">
        <v>773</v>
      </c>
      <c r="B130" s="15" t="s">
        <v>28</v>
      </c>
      <c r="C130" s="15" t="s">
        <v>190</v>
      </c>
      <c r="D130" s="15" t="s">
        <v>191</v>
      </c>
      <c r="E130" s="15" t="s">
        <v>154</v>
      </c>
      <c r="F130" s="15" t="s">
        <v>89</v>
      </c>
      <c r="G130" s="15" t="s">
        <v>120</v>
      </c>
      <c r="H130" s="15" t="s">
        <v>91</v>
      </c>
      <c r="I130" s="15" t="s">
        <v>92</v>
      </c>
      <c r="J130" s="15" t="s">
        <v>155</v>
      </c>
      <c r="K130" s="16" t="s">
        <v>156</v>
      </c>
      <c r="L130" s="16" t="s">
        <v>774</v>
      </c>
      <c r="M130" s="16" t="s">
        <v>775</v>
      </c>
      <c r="N130" s="15" t="s">
        <v>333</v>
      </c>
      <c r="O130" s="15" t="s">
        <v>98</v>
      </c>
      <c r="P130" s="15" t="s">
        <v>186</v>
      </c>
      <c r="Q130" s="15"/>
      <c r="R130" s="15" t="s">
        <v>127</v>
      </c>
      <c r="S130" s="15" t="str">
        <f>HYPERLINK("http://shopweb.tjgdyf.com:8090/snapshot/G_62/D_1308/p_1061/20200917134647.jpg","查看图片")</f>
        <v>查看图片</v>
      </c>
      <c r="T130" s="15" t="str">
        <f>HYPERLINK("http://ovopark.oss-cn-hangzhou.aliyuncs.com/2039_117609141911889_image_1600852165196.jpg","查看图片")</f>
        <v>查看图片</v>
      </c>
      <c r="U130" s="15" t="s">
        <v>7</v>
      </c>
      <c r="V130" s="15" t="s">
        <v>776</v>
      </c>
      <c r="W130" s="13" t="s">
        <v>137</v>
      </c>
      <c r="X130" s="13" t="s">
        <v>335</v>
      </c>
    </row>
    <row r="131" customHeight="1" spans="1:24">
      <c r="A131" s="15" t="s">
        <v>777</v>
      </c>
      <c r="B131" s="15" t="s">
        <v>28</v>
      </c>
      <c r="C131" s="15" t="s">
        <v>221</v>
      </c>
      <c r="D131" s="15" t="s">
        <v>222</v>
      </c>
      <c r="E131" s="15" t="s">
        <v>89</v>
      </c>
      <c r="F131" s="15" t="s">
        <v>89</v>
      </c>
      <c r="G131" s="15" t="s">
        <v>120</v>
      </c>
      <c r="H131" s="15" t="s">
        <v>91</v>
      </c>
      <c r="I131" s="15" t="s">
        <v>92</v>
      </c>
      <c r="J131" s="15" t="s">
        <v>264</v>
      </c>
      <c r="K131" s="16" t="s">
        <v>265</v>
      </c>
      <c r="L131" s="16" t="s">
        <v>778</v>
      </c>
      <c r="M131" s="16" t="s">
        <v>779</v>
      </c>
      <c r="N131" s="15" t="s">
        <v>333</v>
      </c>
      <c r="O131" s="15" t="s">
        <v>98</v>
      </c>
      <c r="P131" s="15" t="s">
        <v>186</v>
      </c>
      <c r="Q131" s="15"/>
      <c r="R131" s="15" t="s">
        <v>268</v>
      </c>
      <c r="S131" s="15" t="s">
        <v>114</v>
      </c>
      <c r="T131" s="15" t="str">
        <f>HYPERLINK("http://ovopark.oss-cn-hangzhou.aliyuncs.com/2039_117644508396037_image_1600852205571.jpg","查看图片")</f>
        <v>查看图片</v>
      </c>
      <c r="U131" s="15" t="s">
        <v>7</v>
      </c>
      <c r="V131" s="15" t="s">
        <v>780</v>
      </c>
      <c r="W131" s="13" t="s">
        <v>137</v>
      </c>
      <c r="X131" s="13" t="s">
        <v>335</v>
      </c>
    </row>
    <row r="132" customHeight="1" spans="1:24">
      <c r="A132" s="15" t="s">
        <v>781</v>
      </c>
      <c r="B132" s="15" t="s">
        <v>28</v>
      </c>
      <c r="C132" s="15" t="s">
        <v>221</v>
      </c>
      <c r="D132" s="15" t="s">
        <v>222</v>
      </c>
      <c r="E132" s="15" t="s">
        <v>89</v>
      </c>
      <c r="F132" s="15" t="s">
        <v>89</v>
      </c>
      <c r="G132" s="15" t="s">
        <v>120</v>
      </c>
      <c r="H132" s="15" t="s">
        <v>91</v>
      </c>
      <c r="I132" s="15" t="s">
        <v>92</v>
      </c>
      <c r="J132" s="15" t="s">
        <v>264</v>
      </c>
      <c r="K132" s="16" t="s">
        <v>265</v>
      </c>
      <c r="L132" s="16" t="s">
        <v>782</v>
      </c>
      <c r="M132" s="16" t="s">
        <v>783</v>
      </c>
      <c r="N132" s="15" t="s">
        <v>333</v>
      </c>
      <c r="O132" s="15" t="s">
        <v>98</v>
      </c>
      <c r="P132" s="15" t="s">
        <v>186</v>
      </c>
      <c r="Q132" s="15"/>
      <c r="R132" s="15" t="s">
        <v>268</v>
      </c>
      <c r="S132" s="15" t="s">
        <v>114</v>
      </c>
      <c r="T132" s="15" t="str">
        <f>HYPERLINK("http://ovopark.oss-cn-hangzhou.aliyuncs.com/2039_117659809915322_image_1600852221073.jpg","查看图片")</f>
        <v>查看图片</v>
      </c>
      <c r="U132" s="15" t="s">
        <v>7</v>
      </c>
      <c r="V132" s="15" t="s">
        <v>784</v>
      </c>
      <c r="W132" s="13" t="s">
        <v>137</v>
      </c>
      <c r="X132" s="13" t="s">
        <v>335</v>
      </c>
    </row>
    <row r="133" customHeight="1" spans="1:24">
      <c r="A133" s="15" t="s">
        <v>785</v>
      </c>
      <c r="B133" s="15" t="s">
        <v>28</v>
      </c>
      <c r="C133" s="15" t="s">
        <v>221</v>
      </c>
      <c r="D133" s="15" t="s">
        <v>222</v>
      </c>
      <c r="E133" s="15" t="s">
        <v>89</v>
      </c>
      <c r="F133" s="15" t="s">
        <v>89</v>
      </c>
      <c r="G133" s="15" t="s">
        <v>120</v>
      </c>
      <c r="H133" s="15" t="s">
        <v>91</v>
      </c>
      <c r="I133" s="15" t="s">
        <v>92</v>
      </c>
      <c r="J133" s="15" t="s">
        <v>264</v>
      </c>
      <c r="K133" s="16" t="s">
        <v>265</v>
      </c>
      <c r="L133" s="16" t="s">
        <v>786</v>
      </c>
      <c r="M133" s="16" t="s">
        <v>787</v>
      </c>
      <c r="N133" s="15" t="s">
        <v>333</v>
      </c>
      <c r="O133" s="15" t="s">
        <v>98</v>
      </c>
      <c r="P133" s="15" t="s">
        <v>186</v>
      </c>
      <c r="Q133" s="15"/>
      <c r="R133" s="15" t="s">
        <v>268</v>
      </c>
      <c r="S133" s="15" t="s">
        <v>114</v>
      </c>
      <c r="T133" s="15" t="str">
        <f>HYPERLINK("http://ovopark.oss-cn-hangzhou.aliyuncs.com/2039_117674788676449_image_1600852236683.jpg","查看图片")</f>
        <v>查看图片</v>
      </c>
      <c r="U133" s="15" t="s">
        <v>7</v>
      </c>
      <c r="V133" s="15" t="s">
        <v>788</v>
      </c>
      <c r="W133" s="13" t="s">
        <v>137</v>
      </c>
      <c r="X133" s="13" t="s">
        <v>335</v>
      </c>
    </row>
    <row r="134" customHeight="1" spans="1:24">
      <c r="A134" s="15" t="s">
        <v>789</v>
      </c>
      <c r="B134" s="15" t="s">
        <v>28</v>
      </c>
      <c r="C134" s="15" t="s">
        <v>221</v>
      </c>
      <c r="D134" s="15" t="s">
        <v>222</v>
      </c>
      <c r="E134" s="15" t="s">
        <v>89</v>
      </c>
      <c r="F134" s="15" t="s">
        <v>89</v>
      </c>
      <c r="G134" s="15" t="s">
        <v>120</v>
      </c>
      <c r="H134" s="15" t="s">
        <v>91</v>
      </c>
      <c r="I134" s="15" t="s">
        <v>92</v>
      </c>
      <c r="J134" s="15" t="s">
        <v>264</v>
      </c>
      <c r="K134" s="16" t="s">
        <v>265</v>
      </c>
      <c r="L134" s="16" t="s">
        <v>790</v>
      </c>
      <c r="M134" s="16" t="s">
        <v>791</v>
      </c>
      <c r="N134" s="15" t="s">
        <v>333</v>
      </c>
      <c r="O134" s="15" t="s">
        <v>98</v>
      </c>
      <c r="P134" s="15" t="s">
        <v>186</v>
      </c>
      <c r="Q134" s="15"/>
      <c r="R134" s="15" t="s">
        <v>268</v>
      </c>
      <c r="S134" s="15" t="s">
        <v>114</v>
      </c>
      <c r="T134" s="15" t="str">
        <f>HYPERLINK("http://ovopark.oss-cn-hangzhou.aliyuncs.com/2039_117689712226113_image_1600852251555.jpg","查看图片")</f>
        <v>查看图片</v>
      </c>
      <c r="U134" s="15" t="s">
        <v>7</v>
      </c>
      <c r="V134" s="15" t="s">
        <v>792</v>
      </c>
      <c r="W134" s="13" t="s">
        <v>137</v>
      </c>
      <c r="X134" s="13" t="s">
        <v>335</v>
      </c>
    </row>
    <row r="135" customHeight="1" spans="1:24">
      <c r="A135" s="15" t="s">
        <v>793</v>
      </c>
      <c r="B135" s="15" t="s">
        <v>28</v>
      </c>
      <c r="C135" s="15" t="s">
        <v>221</v>
      </c>
      <c r="D135" s="15" t="s">
        <v>222</v>
      </c>
      <c r="E135" s="15" t="s">
        <v>89</v>
      </c>
      <c r="F135" s="15" t="s">
        <v>89</v>
      </c>
      <c r="G135" s="15" t="s">
        <v>120</v>
      </c>
      <c r="H135" s="15" t="s">
        <v>91</v>
      </c>
      <c r="I135" s="15" t="s">
        <v>92</v>
      </c>
      <c r="J135" s="15" t="s">
        <v>264</v>
      </c>
      <c r="K135" s="16" t="s">
        <v>265</v>
      </c>
      <c r="L135" s="16" t="s">
        <v>794</v>
      </c>
      <c r="M135" s="16" t="s">
        <v>795</v>
      </c>
      <c r="N135" s="15" t="s">
        <v>333</v>
      </c>
      <c r="O135" s="15" t="s">
        <v>98</v>
      </c>
      <c r="P135" s="15" t="s">
        <v>186</v>
      </c>
      <c r="Q135" s="15"/>
      <c r="R135" s="15" t="s">
        <v>268</v>
      </c>
      <c r="S135" s="15" t="s">
        <v>114</v>
      </c>
      <c r="T135" s="15" t="str">
        <f>HYPERLINK("http://ovopark.oss-cn-hangzhou.aliyuncs.com/2039_117703287791372_image_1600852265600.jpg","查看图片")</f>
        <v>查看图片</v>
      </c>
      <c r="U135" s="15" t="s">
        <v>7</v>
      </c>
      <c r="V135" s="15" t="s">
        <v>796</v>
      </c>
      <c r="W135" s="13" t="s">
        <v>137</v>
      </c>
      <c r="X135" s="13" t="s">
        <v>335</v>
      </c>
    </row>
    <row r="136" customHeight="1" spans="1:24">
      <c r="A136" s="15" t="s">
        <v>797</v>
      </c>
      <c r="B136" s="15" t="s">
        <v>28</v>
      </c>
      <c r="C136" s="15" t="s">
        <v>221</v>
      </c>
      <c r="D136" s="15" t="s">
        <v>222</v>
      </c>
      <c r="E136" s="15" t="s">
        <v>89</v>
      </c>
      <c r="F136" s="15" t="s">
        <v>89</v>
      </c>
      <c r="G136" s="15" t="s">
        <v>120</v>
      </c>
      <c r="H136" s="15" t="s">
        <v>91</v>
      </c>
      <c r="I136" s="15" t="s">
        <v>92</v>
      </c>
      <c r="J136" s="15" t="s">
        <v>264</v>
      </c>
      <c r="K136" s="16" t="s">
        <v>265</v>
      </c>
      <c r="L136" s="16" t="s">
        <v>798</v>
      </c>
      <c r="M136" s="16" t="s">
        <v>799</v>
      </c>
      <c r="N136" s="15" t="s">
        <v>333</v>
      </c>
      <c r="O136" s="15" t="s">
        <v>98</v>
      </c>
      <c r="P136" s="15" t="s">
        <v>186</v>
      </c>
      <c r="Q136" s="15"/>
      <c r="R136" s="15" t="s">
        <v>268</v>
      </c>
      <c r="S136" s="15" t="s">
        <v>114</v>
      </c>
      <c r="T136" s="15" t="str">
        <f>HYPERLINK("http://ovopark.oss-cn-hangzhou.aliyuncs.com/2039_117717408621060_image_1600852279378.jpg","查看图片")</f>
        <v>查看图片</v>
      </c>
      <c r="U136" s="15" t="s">
        <v>7</v>
      </c>
      <c r="V136" s="15" t="s">
        <v>800</v>
      </c>
      <c r="W136" s="13" t="s">
        <v>137</v>
      </c>
      <c r="X136" s="13" t="s">
        <v>335</v>
      </c>
    </row>
    <row r="137" customHeight="1" spans="1:24">
      <c r="A137" s="15" t="s">
        <v>801</v>
      </c>
      <c r="B137" s="15" t="s">
        <v>14</v>
      </c>
      <c r="C137" s="15" t="s">
        <v>190</v>
      </c>
      <c r="D137" s="15" t="s">
        <v>191</v>
      </c>
      <c r="E137" s="15" t="s">
        <v>154</v>
      </c>
      <c r="F137" s="15" t="s">
        <v>89</v>
      </c>
      <c r="G137" s="15" t="s">
        <v>120</v>
      </c>
      <c r="H137" s="15" t="s">
        <v>91</v>
      </c>
      <c r="I137" s="15" t="s">
        <v>92</v>
      </c>
      <c r="J137" s="15" t="s">
        <v>181</v>
      </c>
      <c r="K137" s="16" t="s">
        <v>182</v>
      </c>
      <c r="L137" s="16" t="s">
        <v>802</v>
      </c>
      <c r="M137" s="16" t="s">
        <v>803</v>
      </c>
      <c r="N137" s="15" t="s">
        <v>804</v>
      </c>
      <c r="O137" s="15" t="s">
        <v>98</v>
      </c>
      <c r="P137" s="15" t="s">
        <v>186</v>
      </c>
      <c r="Q137" s="15"/>
      <c r="R137" s="15" t="s">
        <v>295</v>
      </c>
      <c r="S137" s="15" t="str">
        <f>HYPERLINK("http://shopweb.tjgdyf.com:8090/snapshot/G_62/D_1293/p_256/20200915150119.jpg","查看图片")</f>
        <v>查看图片</v>
      </c>
      <c r="T137" s="15" t="str">
        <f>HYPERLINK("http://ovopark.oss-cn-hangzhou.aliyuncs.com/2079_164432847726202_image_1600860349596.jpg","查看图片")</f>
        <v>查看图片</v>
      </c>
      <c r="U137" s="15" t="s">
        <v>7</v>
      </c>
      <c r="V137" s="15" t="s">
        <v>805</v>
      </c>
      <c r="W137" s="13" t="s">
        <v>137</v>
      </c>
      <c r="X137" s="13" t="s">
        <v>806</v>
      </c>
    </row>
    <row r="138" customHeight="1" spans="1:24">
      <c r="A138" s="15" t="s">
        <v>807</v>
      </c>
      <c r="B138" s="15" t="s">
        <v>14</v>
      </c>
      <c r="C138" s="15" t="s">
        <v>190</v>
      </c>
      <c r="D138" s="15" t="s">
        <v>191</v>
      </c>
      <c r="E138" s="15" t="s">
        <v>154</v>
      </c>
      <c r="F138" s="15" t="s">
        <v>89</v>
      </c>
      <c r="G138" s="15" t="s">
        <v>120</v>
      </c>
      <c r="H138" s="15" t="s">
        <v>91</v>
      </c>
      <c r="I138" s="15" t="s">
        <v>92</v>
      </c>
      <c r="J138" s="15" t="s">
        <v>181</v>
      </c>
      <c r="K138" s="16" t="s">
        <v>182</v>
      </c>
      <c r="L138" s="16" t="s">
        <v>808</v>
      </c>
      <c r="M138" s="16" t="s">
        <v>809</v>
      </c>
      <c r="N138" s="15" t="s">
        <v>804</v>
      </c>
      <c r="O138" s="15" t="s">
        <v>98</v>
      </c>
      <c r="P138" s="15" t="s">
        <v>186</v>
      </c>
      <c r="Q138" s="15"/>
      <c r="R138" s="15" t="s">
        <v>810</v>
      </c>
      <c r="S138" s="15" t="str">
        <f>HYPERLINK("http://shopweb.tjgdyf.com:8090/snapshot/G_62/D_1293/p_259/20200915150032.jpg","查看图片")</f>
        <v>查看图片</v>
      </c>
      <c r="T138" s="15" t="str">
        <f>HYPERLINK("http://ovopark.oss-cn-hangzhou.aliyuncs.com/2079_164585545838028_image_1600860881552.jpg","查看图片")</f>
        <v>查看图片</v>
      </c>
      <c r="U138" s="15" t="s">
        <v>7</v>
      </c>
      <c r="V138" s="15" t="s">
        <v>811</v>
      </c>
      <c r="W138" s="13" t="s">
        <v>137</v>
      </c>
      <c r="X138" s="13" t="s">
        <v>806</v>
      </c>
    </row>
    <row r="139" customHeight="1" spans="1:24">
      <c r="A139" s="15" t="s">
        <v>812</v>
      </c>
      <c r="B139" s="15" t="s">
        <v>14</v>
      </c>
      <c r="C139" s="15" t="s">
        <v>190</v>
      </c>
      <c r="D139" s="15" t="s">
        <v>191</v>
      </c>
      <c r="E139" s="15" t="s">
        <v>154</v>
      </c>
      <c r="F139" s="15" t="s">
        <v>89</v>
      </c>
      <c r="G139" s="15" t="s">
        <v>120</v>
      </c>
      <c r="H139" s="15" t="s">
        <v>91</v>
      </c>
      <c r="I139" s="15" t="s">
        <v>92</v>
      </c>
      <c r="J139" s="15" t="s">
        <v>181</v>
      </c>
      <c r="K139" s="16" t="s">
        <v>182</v>
      </c>
      <c r="L139" s="16" t="s">
        <v>813</v>
      </c>
      <c r="M139" s="16" t="s">
        <v>814</v>
      </c>
      <c r="N139" s="15" t="s">
        <v>804</v>
      </c>
      <c r="O139" s="15" t="s">
        <v>98</v>
      </c>
      <c r="P139" s="15" t="s">
        <v>186</v>
      </c>
      <c r="Q139" s="15"/>
      <c r="R139" s="15" t="s">
        <v>295</v>
      </c>
      <c r="S139" s="15" t="str">
        <f>HYPERLINK("http://shopweb.tjgdyf.com:8090/snapshot/G_62/D_1293/p_254/20200915150010.jpg","查看图片")</f>
        <v>查看图片</v>
      </c>
      <c r="T139" s="15" t="str">
        <f>HYPERLINK("http://ovopark.oss-cn-hangzhou.aliyuncs.com/2079_164614979136429_image_1600860910907.jpg","查看图片")</f>
        <v>查看图片</v>
      </c>
      <c r="U139" s="15" t="s">
        <v>7</v>
      </c>
      <c r="V139" s="15" t="s">
        <v>815</v>
      </c>
      <c r="W139" s="13" t="s">
        <v>137</v>
      </c>
      <c r="X139" s="13" t="s">
        <v>806</v>
      </c>
    </row>
    <row r="140" customHeight="1" spans="1:24">
      <c r="A140" s="15" t="s">
        <v>816</v>
      </c>
      <c r="B140" s="15" t="s">
        <v>14</v>
      </c>
      <c r="C140" s="15" t="s">
        <v>152</v>
      </c>
      <c r="D140" s="15" t="s">
        <v>168</v>
      </c>
      <c r="E140" s="15" t="s">
        <v>154</v>
      </c>
      <c r="F140" s="15" t="s">
        <v>89</v>
      </c>
      <c r="G140" s="15" t="s">
        <v>120</v>
      </c>
      <c r="H140" s="15" t="s">
        <v>91</v>
      </c>
      <c r="I140" s="15" t="s">
        <v>92</v>
      </c>
      <c r="J140" s="15" t="s">
        <v>265</v>
      </c>
      <c r="K140" s="16" t="s">
        <v>143</v>
      </c>
      <c r="L140" s="16" t="s">
        <v>817</v>
      </c>
      <c r="M140" s="16" t="s">
        <v>818</v>
      </c>
      <c r="N140" s="15" t="s">
        <v>804</v>
      </c>
      <c r="O140" s="15" t="s">
        <v>98</v>
      </c>
      <c r="P140" s="15" t="s">
        <v>186</v>
      </c>
      <c r="Q140" s="15"/>
      <c r="R140" s="15" t="s">
        <v>127</v>
      </c>
      <c r="S140" s="15" t="str">
        <f>HYPERLINK("http://shopweb.tjgdyf.com:8090/snapshot/G_62/D_1293/p_263/20200913145202.jpg","查看图片")</f>
        <v>查看图片</v>
      </c>
      <c r="T140" s="15" t="str">
        <f>HYPERLINK("http://ovopark.oss-cn-hangzhou.aliyuncs.com/2079_164664034737618_image_1600860959969.jpg","查看图片")</f>
        <v>查看图片</v>
      </c>
      <c r="U140" s="15" t="s">
        <v>7</v>
      </c>
      <c r="V140" s="15" t="s">
        <v>819</v>
      </c>
      <c r="W140" s="13" t="s">
        <v>137</v>
      </c>
      <c r="X140" s="13" t="s">
        <v>806</v>
      </c>
    </row>
    <row r="141" customHeight="1" spans="1:24">
      <c r="A141" s="15" t="s">
        <v>820</v>
      </c>
      <c r="B141" s="15" t="s">
        <v>14</v>
      </c>
      <c r="C141" s="15" t="s">
        <v>152</v>
      </c>
      <c r="D141" s="15" t="s">
        <v>168</v>
      </c>
      <c r="E141" s="15" t="s">
        <v>154</v>
      </c>
      <c r="F141" s="15" t="s">
        <v>89</v>
      </c>
      <c r="G141" s="15" t="s">
        <v>120</v>
      </c>
      <c r="H141" s="15" t="s">
        <v>91</v>
      </c>
      <c r="I141" s="15" t="s">
        <v>92</v>
      </c>
      <c r="J141" s="15" t="s">
        <v>265</v>
      </c>
      <c r="K141" s="16" t="s">
        <v>143</v>
      </c>
      <c r="L141" s="16" t="s">
        <v>821</v>
      </c>
      <c r="M141" s="16" t="s">
        <v>822</v>
      </c>
      <c r="N141" s="15" t="s">
        <v>804</v>
      </c>
      <c r="O141" s="15" t="s">
        <v>98</v>
      </c>
      <c r="P141" s="15" t="s">
        <v>186</v>
      </c>
      <c r="Q141" s="15"/>
      <c r="R141" s="15" t="s">
        <v>127</v>
      </c>
      <c r="S141" s="15" t="str">
        <f>HYPERLINK("http://shopweb.tjgdyf.com:8090/snapshot/G_62/D_1293/p_262/20200913145147.jpg","查看图片")</f>
        <v>查看图片</v>
      </c>
      <c r="T141" s="15" t="str">
        <f>HYPERLINK("http://ovopark.oss-cn-hangzhou.aliyuncs.com/2079_164692822192517_image_1600860989309.jpg","查看图片")</f>
        <v>查看图片</v>
      </c>
      <c r="U141" s="15" t="s">
        <v>7</v>
      </c>
      <c r="V141" s="15" t="s">
        <v>823</v>
      </c>
      <c r="W141" s="13" t="s">
        <v>137</v>
      </c>
      <c r="X141" s="13" t="s">
        <v>806</v>
      </c>
    </row>
    <row r="142" customHeight="1" spans="1:24">
      <c r="A142" s="15" t="s">
        <v>824</v>
      </c>
      <c r="B142" s="15" t="s">
        <v>14</v>
      </c>
      <c r="C142" s="15" t="s">
        <v>152</v>
      </c>
      <c r="D142" s="15" t="s">
        <v>168</v>
      </c>
      <c r="E142" s="15" t="s">
        <v>154</v>
      </c>
      <c r="F142" s="15" t="s">
        <v>89</v>
      </c>
      <c r="G142" s="15" t="s">
        <v>120</v>
      </c>
      <c r="H142" s="15" t="s">
        <v>91</v>
      </c>
      <c r="I142" s="15" t="s">
        <v>92</v>
      </c>
      <c r="J142" s="15" t="s">
        <v>265</v>
      </c>
      <c r="K142" s="16" t="s">
        <v>143</v>
      </c>
      <c r="L142" s="16" t="s">
        <v>825</v>
      </c>
      <c r="M142" s="16" t="s">
        <v>826</v>
      </c>
      <c r="N142" s="15" t="s">
        <v>804</v>
      </c>
      <c r="O142" s="15" t="s">
        <v>98</v>
      </c>
      <c r="P142" s="15" t="s">
        <v>186</v>
      </c>
      <c r="Q142" s="15"/>
      <c r="R142" s="15" t="s">
        <v>127</v>
      </c>
      <c r="S142" s="15" t="str">
        <f>HYPERLINK("http://shopweb.tjgdyf.com:8090/snapshot/G_62/D_1293/p_382/20200913145130.jpg","查看图片")</f>
        <v>查看图片</v>
      </c>
      <c r="T142" s="15" t="str">
        <f>HYPERLINK("http://ovopark.oss-cn-hangzhou.aliyuncs.com/2079_164732817432960_image_1600861027597.jpg","查看图片")</f>
        <v>查看图片</v>
      </c>
      <c r="U142" s="15" t="s">
        <v>7</v>
      </c>
      <c r="V142" s="15" t="s">
        <v>827</v>
      </c>
      <c r="W142" s="13" t="s">
        <v>137</v>
      </c>
      <c r="X142" s="13" t="s">
        <v>806</v>
      </c>
    </row>
    <row r="143" customHeight="1" spans="1:24">
      <c r="A143" s="15" t="s">
        <v>828</v>
      </c>
      <c r="B143" s="15" t="s">
        <v>28</v>
      </c>
      <c r="C143" s="15" t="s">
        <v>746</v>
      </c>
      <c r="D143" s="15" t="s">
        <v>747</v>
      </c>
      <c r="E143" s="15" t="s">
        <v>119</v>
      </c>
      <c r="F143" s="15" t="s">
        <v>89</v>
      </c>
      <c r="G143" s="15" t="s">
        <v>120</v>
      </c>
      <c r="H143" s="15" t="s">
        <v>91</v>
      </c>
      <c r="I143" s="15" t="s">
        <v>92</v>
      </c>
      <c r="J143" s="15" t="s">
        <v>170</v>
      </c>
      <c r="K143" s="16" t="s">
        <v>181</v>
      </c>
      <c r="L143" s="16" t="s">
        <v>829</v>
      </c>
      <c r="M143" s="16" t="s">
        <v>830</v>
      </c>
      <c r="N143" s="15" t="s">
        <v>333</v>
      </c>
      <c r="O143" s="15" t="s">
        <v>98</v>
      </c>
      <c r="P143" s="15" t="s">
        <v>750</v>
      </c>
      <c r="Q143" s="15"/>
      <c r="R143" s="15" t="s">
        <v>127</v>
      </c>
      <c r="S143" s="15" t="str">
        <f>HYPERLINK("http://shopweb.tjgdyf.com:8090/snapshot/G_62/D_1308/p_301/001410177a00_20200912080208_1.jpg","查看图片")</f>
        <v>查看图片</v>
      </c>
      <c r="T143" s="15" t="s">
        <v>114</v>
      </c>
      <c r="U143" s="15" t="s">
        <v>7</v>
      </c>
      <c r="V143" s="15" t="s">
        <v>831</v>
      </c>
      <c r="W143" s="13" t="s">
        <v>137</v>
      </c>
      <c r="X143" s="13" t="s">
        <v>335</v>
      </c>
    </row>
    <row r="144" customHeight="1" spans="1:24">
      <c r="A144" s="15" t="s">
        <v>832</v>
      </c>
      <c r="B144" s="15" t="s">
        <v>28</v>
      </c>
      <c r="C144" s="15" t="s">
        <v>746</v>
      </c>
      <c r="D144" s="15" t="s">
        <v>747</v>
      </c>
      <c r="E144" s="15" t="s">
        <v>119</v>
      </c>
      <c r="F144" s="15" t="s">
        <v>89</v>
      </c>
      <c r="G144" s="15" t="s">
        <v>120</v>
      </c>
      <c r="H144" s="15" t="s">
        <v>91</v>
      </c>
      <c r="I144" s="15" t="s">
        <v>92</v>
      </c>
      <c r="J144" s="15" t="s">
        <v>265</v>
      </c>
      <c r="K144" s="16" t="s">
        <v>143</v>
      </c>
      <c r="L144" s="16" t="s">
        <v>833</v>
      </c>
      <c r="M144" s="16" t="s">
        <v>834</v>
      </c>
      <c r="N144" s="15" t="s">
        <v>333</v>
      </c>
      <c r="O144" s="15" t="s">
        <v>98</v>
      </c>
      <c r="P144" s="15" t="s">
        <v>750</v>
      </c>
      <c r="Q144" s="15"/>
      <c r="R144" s="15" t="s">
        <v>127</v>
      </c>
      <c r="S144" s="15" t="str">
        <f>HYPERLINK("http://shopweb.tjgdyf.com:8090/snapshot/G_62/D_1308/p_301/001410177a00_20200913080209_1.jpg","查看图片")</f>
        <v>查看图片</v>
      </c>
      <c r="T144" s="15" t="s">
        <v>114</v>
      </c>
      <c r="U144" s="15" t="s">
        <v>7</v>
      </c>
      <c r="V144" s="15" t="s">
        <v>835</v>
      </c>
      <c r="W144" s="13" t="s">
        <v>137</v>
      </c>
      <c r="X144" s="13" t="s">
        <v>335</v>
      </c>
    </row>
    <row r="145" customHeight="1" spans="1:24">
      <c r="A145" s="15" t="s">
        <v>836</v>
      </c>
      <c r="B145" s="15" t="s">
        <v>19</v>
      </c>
      <c r="C145" s="15" t="s">
        <v>746</v>
      </c>
      <c r="D145" s="15" t="s">
        <v>747</v>
      </c>
      <c r="E145" s="15" t="s">
        <v>119</v>
      </c>
      <c r="F145" s="15" t="s">
        <v>89</v>
      </c>
      <c r="G145" s="15" t="s">
        <v>120</v>
      </c>
      <c r="H145" s="15" t="s">
        <v>91</v>
      </c>
      <c r="I145" s="15" t="s">
        <v>92</v>
      </c>
      <c r="J145" s="15" t="s">
        <v>170</v>
      </c>
      <c r="K145" s="16" t="s">
        <v>181</v>
      </c>
      <c r="L145" s="16" t="s">
        <v>837</v>
      </c>
      <c r="M145" s="16" t="s">
        <v>838</v>
      </c>
      <c r="N145" s="15" t="s">
        <v>839</v>
      </c>
      <c r="O145" s="15" t="s">
        <v>98</v>
      </c>
      <c r="P145" s="15" t="s">
        <v>750</v>
      </c>
      <c r="Q145" s="15"/>
      <c r="R145" s="15" t="s">
        <v>127</v>
      </c>
      <c r="S145" s="15" t="str">
        <f>HYPERLINK("http://shopweb.tjgdyf.com:8090/snapshot/G_62/D_1367/p_1952/0014101b8ee9_20200912080209_2.jpg","查看图片")</f>
        <v>查看图片</v>
      </c>
      <c r="T145" s="15" t="str">
        <f>HYPERLINK("http://ovopark.oss-cn-hangzhou.aliyuncs.com/5500_95971931930782_Screenshot_2020-09-23-18-19-31-693_com.alibaba.android.rimet.jpg","查看图片")</f>
        <v>查看图片</v>
      </c>
      <c r="U145" s="15" t="s">
        <v>7</v>
      </c>
      <c r="V145" s="15" t="s">
        <v>840</v>
      </c>
      <c r="W145" s="13" t="s">
        <v>137</v>
      </c>
      <c r="X145" s="13" t="s">
        <v>841</v>
      </c>
    </row>
    <row r="146" customHeight="1" spans="1:24">
      <c r="A146" s="15" t="s">
        <v>842</v>
      </c>
      <c r="B146" s="15" t="s">
        <v>19</v>
      </c>
      <c r="C146" s="15" t="s">
        <v>843</v>
      </c>
      <c r="D146" s="15" t="s">
        <v>844</v>
      </c>
      <c r="E146" s="15" t="s">
        <v>154</v>
      </c>
      <c r="F146" s="15" t="s">
        <v>89</v>
      </c>
      <c r="G146" s="15" t="s">
        <v>120</v>
      </c>
      <c r="H146" s="15" t="s">
        <v>91</v>
      </c>
      <c r="I146" s="15" t="s">
        <v>92</v>
      </c>
      <c r="J146" s="15" t="s">
        <v>155</v>
      </c>
      <c r="K146" s="16" t="s">
        <v>156</v>
      </c>
      <c r="L146" s="16" t="s">
        <v>845</v>
      </c>
      <c r="M146" s="16" t="s">
        <v>846</v>
      </c>
      <c r="N146" s="15" t="s">
        <v>839</v>
      </c>
      <c r="O146" s="15" t="s">
        <v>98</v>
      </c>
      <c r="P146" s="15" t="s">
        <v>186</v>
      </c>
      <c r="Q146" s="15"/>
      <c r="R146" s="15" t="s">
        <v>127</v>
      </c>
      <c r="S146" s="15" t="str">
        <f>HYPERLINK("http://shopweb.tjgdyf.com:8090/snapshot/G_62/D_1367/p_1957/20200917134153.jpg","查看图片")</f>
        <v>查看图片</v>
      </c>
      <c r="T146" s="15" t="str">
        <f>HYPERLINK("http://ovopark.oss-cn-hangzhou.aliyuncs.com/5500_95810544904698_image_1600856281063.jpg","查看图片")</f>
        <v>查看图片</v>
      </c>
      <c r="U146" s="15" t="s">
        <v>7</v>
      </c>
      <c r="V146" s="15" t="s">
        <v>847</v>
      </c>
      <c r="W146" s="13" t="s">
        <v>137</v>
      </c>
      <c r="X146" s="13" t="s">
        <v>841</v>
      </c>
    </row>
    <row r="147" customHeight="1" spans="1:24">
      <c r="A147" s="15" t="s">
        <v>848</v>
      </c>
      <c r="B147" s="15" t="s">
        <v>19</v>
      </c>
      <c r="C147" s="15" t="s">
        <v>190</v>
      </c>
      <c r="D147" s="15" t="s">
        <v>191</v>
      </c>
      <c r="E147" s="15" t="s">
        <v>154</v>
      </c>
      <c r="F147" s="15" t="s">
        <v>89</v>
      </c>
      <c r="G147" s="15" t="s">
        <v>120</v>
      </c>
      <c r="H147" s="15" t="s">
        <v>91</v>
      </c>
      <c r="I147" s="15" t="s">
        <v>92</v>
      </c>
      <c r="J147" s="15" t="s">
        <v>155</v>
      </c>
      <c r="K147" s="16" t="s">
        <v>156</v>
      </c>
      <c r="L147" s="16" t="s">
        <v>849</v>
      </c>
      <c r="M147" s="16" t="s">
        <v>850</v>
      </c>
      <c r="N147" s="15" t="s">
        <v>839</v>
      </c>
      <c r="O147" s="15" t="s">
        <v>98</v>
      </c>
      <c r="P147" s="15" t="s">
        <v>186</v>
      </c>
      <c r="Q147" s="15"/>
      <c r="R147" s="15" t="s">
        <v>127</v>
      </c>
      <c r="S147" s="15" t="str">
        <f>HYPERLINK("http://shopweb.tjgdyf.com:8090/snapshot/G_62/D_1367/p_1953/20200917134116.jpg","查看图片")</f>
        <v>查看图片</v>
      </c>
      <c r="T147" s="15" t="str">
        <f>HYPERLINK("http://ovopark.oss-cn-hangzhou.aliyuncs.com/5500_95826242808963_image_1600856296657.jpg","查看图片")</f>
        <v>查看图片</v>
      </c>
      <c r="U147" s="15" t="s">
        <v>7</v>
      </c>
      <c r="V147" s="15" t="s">
        <v>851</v>
      </c>
      <c r="W147" s="13" t="s">
        <v>137</v>
      </c>
      <c r="X147" s="13" t="s">
        <v>841</v>
      </c>
    </row>
    <row r="148" customHeight="1" spans="1:24">
      <c r="A148" s="15" t="s">
        <v>852</v>
      </c>
      <c r="B148" s="15" t="s">
        <v>43</v>
      </c>
      <c r="C148" s="15" t="s">
        <v>190</v>
      </c>
      <c r="D148" s="15" t="s">
        <v>191</v>
      </c>
      <c r="E148" s="15" t="s">
        <v>154</v>
      </c>
      <c r="F148" s="15" t="s">
        <v>89</v>
      </c>
      <c r="G148" s="15" t="s">
        <v>120</v>
      </c>
      <c r="H148" s="15" t="s">
        <v>91</v>
      </c>
      <c r="I148" s="15" t="s">
        <v>92</v>
      </c>
      <c r="J148" s="15" t="s">
        <v>182</v>
      </c>
      <c r="K148" s="16" t="s">
        <v>192</v>
      </c>
      <c r="L148" s="16" t="s">
        <v>853</v>
      </c>
      <c r="M148" s="16" t="s">
        <v>854</v>
      </c>
      <c r="N148" s="15" t="s">
        <v>855</v>
      </c>
      <c r="O148" s="15" t="s">
        <v>98</v>
      </c>
      <c r="P148" s="15" t="s">
        <v>160</v>
      </c>
      <c r="Q148" s="15"/>
      <c r="R148" s="15" t="s">
        <v>127</v>
      </c>
      <c r="S148" s="15" t="str">
        <f>HYPERLINK("http://shopweb.tjgdyf.com:8090/snapshot/G_62/D_1333/p_1935/20200918231952.jpg","查看图片")</f>
        <v>查看图片</v>
      </c>
      <c r="T148" s="15" t="str">
        <f>HYPERLINK("http://ovopark.oss-cn-hangzhou.aliyuncs.com/2113_69964904439842_image_1600851163177.jpg","查看图片")</f>
        <v>查看图片</v>
      </c>
      <c r="U148" s="15" t="s">
        <v>7</v>
      </c>
      <c r="V148" s="15" t="s">
        <v>856</v>
      </c>
      <c r="W148" s="13" t="s">
        <v>137</v>
      </c>
      <c r="X148" s="13" t="s">
        <v>857</v>
      </c>
    </row>
    <row r="149" customHeight="1" spans="1:24">
      <c r="A149" s="15" t="s">
        <v>858</v>
      </c>
      <c r="B149" s="15" t="s">
        <v>43</v>
      </c>
      <c r="C149" s="15" t="s">
        <v>190</v>
      </c>
      <c r="D149" s="15" t="s">
        <v>191</v>
      </c>
      <c r="E149" s="15" t="s">
        <v>154</v>
      </c>
      <c r="F149" s="15" t="s">
        <v>89</v>
      </c>
      <c r="G149" s="15" t="s">
        <v>120</v>
      </c>
      <c r="H149" s="15" t="s">
        <v>91</v>
      </c>
      <c r="I149" s="15" t="s">
        <v>92</v>
      </c>
      <c r="J149" s="15" t="s">
        <v>182</v>
      </c>
      <c r="K149" s="16" t="s">
        <v>192</v>
      </c>
      <c r="L149" s="16" t="s">
        <v>859</v>
      </c>
      <c r="M149" s="16" t="s">
        <v>860</v>
      </c>
      <c r="N149" s="15" t="s">
        <v>855</v>
      </c>
      <c r="O149" s="15" t="s">
        <v>98</v>
      </c>
      <c r="P149" s="15" t="s">
        <v>160</v>
      </c>
      <c r="Q149" s="15"/>
      <c r="R149" s="15" t="s">
        <v>127</v>
      </c>
      <c r="S149" s="15" t="str">
        <f>HYPERLINK("http://shopweb.tjgdyf.com:8090/snapshot/G_62/D_1333/p_1810/20200918232003.jpg","查看图片")</f>
        <v>查看图片</v>
      </c>
      <c r="T149" s="15" t="str">
        <f>HYPERLINK("http://ovopark.oss-cn-hangzhou.aliyuncs.com/2113_69949979625261_image_1600851148046.jpg","查看图片")</f>
        <v>查看图片</v>
      </c>
      <c r="U149" s="15" t="s">
        <v>7</v>
      </c>
      <c r="V149" s="15" t="s">
        <v>861</v>
      </c>
      <c r="W149" s="13" t="s">
        <v>137</v>
      </c>
      <c r="X149" s="13" t="s">
        <v>857</v>
      </c>
    </row>
    <row r="150" customHeight="1" spans="1:24">
      <c r="A150" s="15" t="s">
        <v>862</v>
      </c>
      <c r="B150" s="15" t="s">
        <v>44</v>
      </c>
      <c r="C150" s="15" t="s">
        <v>221</v>
      </c>
      <c r="D150" s="15" t="s">
        <v>222</v>
      </c>
      <c r="E150" s="15" t="s">
        <v>89</v>
      </c>
      <c r="F150" s="15" t="s">
        <v>89</v>
      </c>
      <c r="G150" s="15" t="s">
        <v>120</v>
      </c>
      <c r="H150" s="15" t="s">
        <v>91</v>
      </c>
      <c r="I150" s="15" t="s">
        <v>92</v>
      </c>
      <c r="J150" s="15" t="s">
        <v>144</v>
      </c>
      <c r="K150" s="16" t="s">
        <v>347</v>
      </c>
      <c r="L150" s="16" t="s">
        <v>863</v>
      </c>
      <c r="M150" s="16" t="s">
        <v>864</v>
      </c>
      <c r="N150" s="15" t="s">
        <v>865</v>
      </c>
      <c r="O150" s="15" t="s">
        <v>98</v>
      </c>
      <c r="P150" s="15" t="s">
        <v>351</v>
      </c>
      <c r="Q150" s="15"/>
      <c r="R150" s="15" t="s">
        <v>127</v>
      </c>
      <c r="S150" s="15" t="s">
        <v>114</v>
      </c>
      <c r="T150" s="15" t="s">
        <v>114</v>
      </c>
      <c r="U150" s="15" t="s">
        <v>7</v>
      </c>
      <c r="V150" s="15" t="s">
        <v>866</v>
      </c>
      <c r="W150" s="13" t="s">
        <v>102</v>
      </c>
      <c r="X150" s="13" t="s">
        <v>31</v>
      </c>
    </row>
    <row r="151" customHeight="1" spans="1:24">
      <c r="A151" s="15" t="s">
        <v>867</v>
      </c>
      <c r="B151" s="15" t="s">
        <v>44</v>
      </c>
      <c r="C151" s="15" t="s">
        <v>221</v>
      </c>
      <c r="D151" s="15" t="s">
        <v>222</v>
      </c>
      <c r="E151" s="15" t="s">
        <v>89</v>
      </c>
      <c r="F151" s="15" t="s">
        <v>89</v>
      </c>
      <c r="G151" s="15" t="s">
        <v>120</v>
      </c>
      <c r="H151" s="15" t="s">
        <v>91</v>
      </c>
      <c r="I151" s="15" t="s">
        <v>92</v>
      </c>
      <c r="J151" s="15" t="s">
        <v>144</v>
      </c>
      <c r="K151" s="16" t="s">
        <v>347</v>
      </c>
      <c r="L151" s="16" t="s">
        <v>868</v>
      </c>
      <c r="M151" s="16" t="s">
        <v>869</v>
      </c>
      <c r="N151" s="15" t="s">
        <v>865</v>
      </c>
      <c r="O151" s="15" t="s">
        <v>98</v>
      </c>
      <c r="P151" s="15" t="s">
        <v>351</v>
      </c>
      <c r="Q151" s="15"/>
      <c r="R151" s="15" t="s">
        <v>127</v>
      </c>
      <c r="S151" s="15" t="s">
        <v>114</v>
      </c>
      <c r="T151" s="15" t="s">
        <v>114</v>
      </c>
      <c r="U151" s="15" t="s">
        <v>7</v>
      </c>
      <c r="V151" s="15" t="s">
        <v>870</v>
      </c>
      <c r="W151" s="13" t="s">
        <v>102</v>
      </c>
      <c r="X151" s="13" t="s">
        <v>31</v>
      </c>
    </row>
    <row r="152" customHeight="1" spans="1:24">
      <c r="A152" s="15" t="s">
        <v>871</v>
      </c>
      <c r="B152" s="15" t="s">
        <v>44</v>
      </c>
      <c r="C152" s="15" t="s">
        <v>221</v>
      </c>
      <c r="D152" s="15" t="s">
        <v>222</v>
      </c>
      <c r="E152" s="15" t="s">
        <v>89</v>
      </c>
      <c r="F152" s="15" t="s">
        <v>89</v>
      </c>
      <c r="G152" s="15" t="s">
        <v>120</v>
      </c>
      <c r="H152" s="15" t="s">
        <v>91</v>
      </c>
      <c r="I152" s="15" t="s">
        <v>92</v>
      </c>
      <c r="J152" s="15" t="s">
        <v>144</v>
      </c>
      <c r="K152" s="16" t="s">
        <v>347</v>
      </c>
      <c r="L152" s="16" t="s">
        <v>872</v>
      </c>
      <c r="M152" s="16" t="s">
        <v>873</v>
      </c>
      <c r="N152" s="15" t="s">
        <v>865</v>
      </c>
      <c r="O152" s="15" t="s">
        <v>98</v>
      </c>
      <c r="P152" s="15" t="s">
        <v>351</v>
      </c>
      <c r="Q152" s="15"/>
      <c r="R152" s="15" t="s">
        <v>127</v>
      </c>
      <c r="S152" s="15" t="s">
        <v>114</v>
      </c>
      <c r="T152" s="15" t="s">
        <v>114</v>
      </c>
      <c r="U152" s="15" t="s">
        <v>7</v>
      </c>
      <c r="V152" s="15" t="s">
        <v>874</v>
      </c>
      <c r="W152" s="13" t="s">
        <v>102</v>
      </c>
      <c r="X152" s="13" t="s">
        <v>31</v>
      </c>
    </row>
    <row r="153" customHeight="1" spans="1:24">
      <c r="A153" s="15" t="s">
        <v>875</v>
      </c>
      <c r="B153" s="15" t="s">
        <v>44</v>
      </c>
      <c r="C153" s="15" t="s">
        <v>221</v>
      </c>
      <c r="D153" s="15" t="s">
        <v>222</v>
      </c>
      <c r="E153" s="15" t="s">
        <v>89</v>
      </c>
      <c r="F153" s="15" t="s">
        <v>89</v>
      </c>
      <c r="G153" s="15" t="s">
        <v>120</v>
      </c>
      <c r="H153" s="15" t="s">
        <v>91</v>
      </c>
      <c r="I153" s="15" t="s">
        <v>92</v>
      </c>
      <c r="J153" s="15" t="s">
        <v>144</v>
      </c>
      <c r="K153" s="16" t="s">
        <v>347</v>
      </c>
      <c r="L153" s="16" t="s">
        <v>876</v>
      </c>
      <c r="M153" s="16" t="s">
        <v>877</v>
      </c>
      <c r="N153" s="15" t="s">
        <v>865</v>
      </c>
      <c r="O153" s="15" t="s">
        <v>98</v>
      </c>
      <c r="P153" s="15" t="s">
        <v>351</v>
      </c>
      <c r="Q153" s="15"/>
      <c r="R153" s="15" t="s">
        <v>127</v>
      </c>
      <c r="S153" s="15" t="s">
        <v>114</v>
      </c>
      <c r="T153" s="15" t="s">
        <v>114</v>
      </c>
      <c r="U153" s="15" t="s">
        <v>7</v>
      </c>
      <c r="V153" s="15" t="s">
        <v>878</v>
      </c>
      <c r="W153" s="13" t="s">
        <v>102</v>
      </c>
      <c r="X153" s="13" t="s">
        <v>31</v>
      </c>
    </row>
    <row r="154" customHeight="1" spans="1:24">
      <c r="A154" s="15" t="s">
        <v>879</v>
      </c>
      <c r="B154" s="15" t="s">
        <v>44</v>
      </c>
      <c r="C154" s="15" t="s">
        <v>221</v>
      </c>
      <c r="D154" s="15" t="s">
        <v>222</v>
      </c>
      <c r="E154" s="15" t="s">
        <v>89</v>
      </c>
      <c r="F154" s="15" t="s">
        <v>89</v>
      </c>
      <c r="G154" s="15" t="s">
        <v>120</v>
      </c>
      <c r="H154" s="15" t="s">
        <v>91</v>
      </c>
      <c r="I154" s="15" t="s">
        <v>92</v>
      </c>
      <c r="J154" s="15" t="s">
        <v>144</v>
      </c>
      <c r="K154" s="16" t="s">
        <v>347</v>
      </c>
      <c r="L154" s="16" t="s">
        <v>880</v>
      </c>
      <c r="M154" s="16" t="s">
        <v>881</v>
      </c>
      <c r="N154" s="15" t="s">
        <v>865</v>
      </c>
      <c r="O154" s="15" t="s">
        <v>98</v>
      </c>
      <c r="P154" s="15" t="s">
        <v>351</v>
      </c>
      <c r="Q154" s="15"/>
      <c r="R154" s="15" t="s">
        <v>127</v>
      </c>
      <c r="S154" s="15" t="s">
        <v>114</v>
      </c>
      <c r="T154" s="15" t="s">
        <v>114</v>
      </c>
      <c r="U154" s="15" t="s">
        <v>7</v>
      </c>
      <c r="V154" s="15" t="s">
        <v>882</v>
      </c>
      <c r="W154" s="13" t="s">
        <v>102</v>
      </c>
      <c r="X154" s="13" t="s">
        <v>31</v>
      </c>
    </row>
    <row r="155" customHeight="1" spans="1:24">
      <c r="A155" s="15" t="s">
        <v>883</v>
      </c>
      <c r="B155" s="15" t="s">
        <v>44</v>
      </c>
      <c r="C155" s="15" t="s">
        <v>221</v>
      </c>
      <c r="D155" s="15" t="s">
        <v>222</v>
      </c>
      <c r="E155" s="15" t="s">
        <v>89</v>
      </c>
      <c r="F155" s="15" t="s">
        <v>89</v>
      </c>
      <c r="G155" s="15" t="s">
        <v>120</v>
      </c>
      <c r="H155" s="15" t="s">
        <v>91</v>
      </c>
      <c r="I155" s="15" t="s">
        <v>92</v>
      </c>
      <c r="J155" s="15" t="s">
        <v>144</v>
      </c>
      <c r="K155" s="16" t="s">
        <v>347</v>
      </c>
      <c r="L155" s="16" t="s">
        <v>884</v>
      </c>
      <c r="M155" s="16" t="s">
        <v>885</v>
      </c>
      <c r="N155" s="15" t="s">
        <v>865</v>
      </c>
      <c r="O155" s="15" t="s">
        <v>98</v>
      </c>
      <c r="P155" s="15" t="s">
        <v>351</v>
      </c>
      <c r="Q155" s="15"/>
      <c r="R155" s="15" t="s">
        <v>127</v>
      </c>
      <c r="S155" s="15" t="s">
        <v>114</v>
      </c>
      <c r="T155" s="15" t="s">
        <v>114</v>
      </c>
      <c r="U155" s="15" t="s">
        <v>7</v>
      </c>
      <c r="V155" s="15" t="s">
        <v>886</v>
      </c>
      <c r="W155" s="13" t="s">
        <v>102</v>
      </c>
      <c r="X155" s="13" t="s">
        <v>31</v>
      </c>
    </row>
    <row r="156" customHeight="1" spans="1:24">
      <c r="A156" s="15" t="s">
        <v>887</v>
      </c>
      <c r="B156" s="15" t="s">
        <v>39</v>
      </c>
      <c r="C156" s="15" t="s">
        <v>221</v>
      </c>
      <c r="D156" s="15" t="s">
        <v>222</v>
      </c>
      <c r="E156" s="15" t="s">
        <v>89</v>
      </c>
      <c r="F156" s="15" t="s">
        <v>89</v>
      </c>
      <c r="G156" s="15" t="s">
        <v>120</v>
      </c>
      <c r="H156" s="15" t="s">
        <v>91</v>
      </c>
      <c r="I156" s="15" t="s">
        <v>92</v>
      </c>
      <c r="J156" s="15" t="s">
        <v>144</v>
      </c>
      <c r="K156" s="16" t="s">
        <v>347</v>
      </c>
      <c r="L156" s="16" t="s">
        <v>888</v>
      </c>
      <c r="M156" s="16" t="s">
        <v>889</v>
      </c>
      <c r="N156" s="15" t="s">
        <v>890</v>
      </c>
      <c r="O156" s="15" t="s">
        <v>98</v>
      </c>
      <c r="P156" s="15" t="s">
        <v>351</v>
      </c>
      <c r="Q156" s="15"/>
      <c r="R156" s="15" t="s">
        <v>127</v>
      </c>
      <c r="S156" s="15" t="s">
        <v>114</v>
      </c>
      <c r="T156" s="15" t="s">
        <v>114</v>
      </c>
      <c r="U156" s="15" t="s">
        <v>7</v>
      </c>
      <c r="V156" s="15" t="s">
        <v>891</v>
      </c>
      <c r="W156" s="13" t="s">
        <v>102</v>
      </c>
      <c r="X156" s="13" t="s">
        <v>31</v>
      </c>
    </row>
    <row r="157" customHeight="1" spans="1:24">
      <c r="A157" s="15" t="s">
        <v>892</v>
      </c>
      <c r="B157" s="15" t="s">
        <v>39</v>
      </c>
      <c r="C157" s="15" t="s">
        <v>221</v>
      </c>
      <c r="D157" s="15" t="s">
        <v>222</v>
      </c>
      <c r="E157" s="15" t="s">
        <v>89</v>
      </c>
      <c r="F157" s="15" t="s">
        <v>89</v>
      </c>
      <c r="G157" s="15" t="s">
        <v>120</v>
      </c>
      <c r="H157" s="15" t="s">
        <v>91</v>
      </c>
      <c r="I157" s="15" t="s">
        <v>92</v>
      </c>
      <c r="J157" s="15" t="s">
        <v>144</v>
      </c>
      <c r="K157" s="16" t="s">
        <v>347</v>
      </c>
      <c r="L157" s="16" t="s">
        <v>893</v>
      </c>
      <c r="M157" s="16" t="s">
        <v>894</v>
      </c>
      <c r="N157" s="15" t="s">
        <v>890</v>
      </c>
      <c r="O157" s="15" t="s">
        <v>98</v>
      </c>
      <c r="P157" s="15" t="s">
        <v>351</v>
      </c>
      <c r="Q157" s="15"/>
      <c r="R157" s="15" t="s">
        <v>127</v>
      </c>
      <c r="S157" s="15" t="s">
        <v>114</v>
      </c>
      <c r="T157" s="15" t="s">
        <v>114</v>
      </c>
      <c r="U157" s="15" t="s">
        <v>7</v>
      </c>
      <c r="V157" s="15" t="s">
        <v>895</v>
      </c>
      <c r="W157" s="13" t="s">
        <v>102</v>
      </c>
      <c r="X157" s="13" t="s">
        <v>31</v>
      </c>
    </row>
    <row r="158" customHeight="1" spans="1:24">
      <c r="A158" s="15" t="s">
        <v>896</v>
      </c>
      <c r="B158" s="15" t="s">
        <v>39</v>
      </c>
      <c r="C158" s="15" t="s">
        <v>221</v>
      </c>
      <c r="D158" s="15" t="s">
        <v>222</v>
      </c>
      <c r="E158" s="15" t="s">
        <v>89</v>
      </c>
      <c r="F158" s="15" t="s">
        <v>89</v>
      </c>
      <c r="G158" s="15" t="s">
        <v>120</v>
      </c>
      <c r="H158" s="15" t="s">
        <v>91</v>
      </c>
      <c r="I158" s="15" t="s">
        <v>92</v>
      </c>
      <c r="J158" s="15" t="s">
        <v>144</v>
      </c>
      <c r="K158" s="16" t="s">
        <v>347</v>
      </c>
      <c r="L158" s="16" t="s">
        <v>897</v>
      </c>
      <c r="M158" s="16" t="s">
        <v>898</v>
      </c>
      <c r="N158" s="15" t="s">
        <v>890</v>
      </c>
      <c r="O158" s="15" t="s">
        <v>98</v>
      </c>
      <c r="P158" s="15" t="s">
        <v>351</v>
      </c>
      <c r="Q158" s="15"/>
      <c r="R158" s="15" t="s">
        <v>127</v>
      </c>
      <c r="S158" s="15" t="s">
        <v>114</v>
      </c>
      <c r="T158" s="15" t="s">
        <v>114</v>
      </c>
      <c r="U158" s="15" t="s">
        <v>7</v>
      </c>
      <c r="V158" s="15" t="s">
        <v>899</v>
      </c>
      <c r="W158" s="13" t="s">
        <v>102</v>
      </c>
      <c r="X158" s="13" t="s">
        <v>31</v>
      </c>
    </row>
    <row r="159" customHeight="1" spans="1:24">
      <c r="A159" s="15" t="s">
        <v>900</v>
      </c>
      <c r="B159" s="15" t="s">
        <v>39</v>
      </c>
      <c r="C159" s="15" t="s">
        <v>221</v>
      </c>
      <c r="D159" s="15" t="s">
        <v>222</v>
      </c>
      <c r="E159" s="15" t="s">
        <v>89</v>
      </c>
      <c r="F159" s="15" t="s">
        <v>89</v>
      </c>
      <c r="G159" s="15" t="s">
        <v>120</v>
      </c>
      <c r="H159" s="15" t="s">
        <v>91</v>
      </c>
      <c r="I159" s="15" t="s">
        <v>92</v>
      </c>
      <c r="J159" s="15" t="s">
        <v>144</v>
      </c>
      <c r="K159" s="16" t="s">
        <v>347</v>
      </c>
      <c r="L159" s="16" t="s">
        <v>901</v>
      </c>
      <c r="M159" s="16" t="s">
        <v>902</v>
      </c>
      <c r="N159" s="15" t="s">
        <v>890</v>
      </c>
      <c r="O159" s="15" t="s">
        <v>98</v>
      </c>
      <c r="P159" s="15" t="s">
        <v>351</v>
      </c>
      <c r="Q159" s="15"/>
      <c r="R159" s="15" t="s">
        <v>127</v>
      </c>
      <c r="S159" s="15" t="s">
        <v>114</v>
      </c>
      <c r="T159" s="15" t="s">
        <v>114</v>
      </c>
      <c r="U159" s="15" t="s">
        <v>7</v>
      </c>
      <c r="V159" s="15" t="s">
        <v>903</v>
      </c>
      <c r="W159" s="13" t="s">
        <v>102</v>
      </c>
      <c r="X159" s="13" t="s">
        <v>31</v>
      </c>
    </row>
    <row r="160" customHeight="1" spans="1:24">
      <c r="A160" s="15" t="s">
        <v>904</v>
      </c>
      <c r="B160" s="15" t="s">
        <v>39</v>
      </c>
      <c r="C160" s="15" t="s">
        <v>221</v>
      </c>
      <c r="D160" s="15" t="s">
        <v>222</v>
      </c>
      <c r="E160" s="15" t="s">
        <v>89</v>
      </c>
      <c r="F160" s="15" t="s">
        <v>89</v>
      </c>
      <c r="G160" s="15" t="s">
        <v>120</v>
      </c>
      <c r="H160" s="15" t="s">
        <v>91</v>
      </c>
      <c r="I160" s="15" t="s">
        <v>92</v>
      </c>
      <c r="J160" s="15" t="s">
        <v>144</v>
      </c>
      <c r="K160" s="16" t="s">
        <v>347</v>
      </c>
      <c r="L160" s="16" t="s">
        <v>905</v>
      </c>
      <c r="M160" s="16" t="s">
        <v>906</v>
      </c>
      <c r="N160" s="15" t="s">
        <v>890</v>
      </c>
      <c r="O160" s="15" t="s">
        <v>98</v>
      </c>
      <c r="P160" s="15" t="s">
        <v>351</v>
      </c>
      <c r="Q160" s="15"/>
      <c r="R160" s="15" t="s">
        <v>127</v>
      </c>
      <c r="S160" s="15" t="s">
        <v>114</v>
      </c>
      <c r="T160" s="15" t="s">
        <v>114</v>
      </c>
      <c r="U160" s="15" t="s">
        <v>7</v>
      </c>
      <c r="V160" s="15" t="s">
        <v>907</v>
      </c>
      <c r="W160" s="13" t="s">
        <v>102</v>
      </c>
      <c r="X160" s="13" t="s">
        <v>31</v>
      </c>
    </row>
    <row r="161" customHeight="1" spans="1:24">
      <c r="A161" s="15" t="s">
        <v>908</v>
      </c>
      <c r="B161" s="15" t="s">
        <v>39</v>
      </c>
      <c r="C161" s="15" t="s">
        <v>221</v>
      </c>
      <c r="D161" s="15" t="s">
        <v>222</v>
      </c>
      <c r="E161" s="15" t="s">
        <v>89</v>
      </c>
      <c r="F161" s="15" t="s">
        <v>89</v>
      </c>
      <c r="G161" s="15" t="s">
        <v>120</v>
      </c>
      <c r="H161" s="15" t="s">
        <v>91</v>
      </c>
      <c r="I161" s="15" t="s">
        <v>92</v>
      </c>
      <c r="J161" s="15" t="s">
        <v>144</v>
      </c>
      <c r="K161" s="16" t="s">
        <v>347</v>
      </c>
      <c r="L161" s="16" t="s">
        <v>909</v>
      </c>
      <c r="M161" s="16" t="s">
        <v>910</v>
      </c>
      <c r="N161" s="15" t="s">
        <v>890</v>
      </c>
      <c r="O161" s="15" t="s">
        <v>98</v>
      </c>
      <c r="P161" s="15" t="s">
        <v>351</v>
      </c>
      <c r="Q161" s="15"/>
      <c r="R161" s="15" t="s">
        <v>127</v>
      </c>
      <c r="S161" s="15" t="s">
        <v>114</v>
      </c>
      <c r="T161" s="15" t="s">
        <v>114</v>
      </c>
      <c r="U161" s="15" t="s">
        <v>7</v>
      </c>
      <c r="V161" s="15" t="s">
        <v>911</v>
      </c>
      <c r="W161" s="13" t="s">
        <v>102</v>
      </c>
      <c r="X161" s="13" t="s">
        <v>31</v>
      </c>
    </row>
    <row r="162" customHeight="1" spans="1:24">
      <c r="A162" s="15" t="s">
        <v>912</v>
      </c>
      <c r="B162" s="15" t="s">
        <v>38</v>
      </c>
      <c r="C162" s="15" t="s">
        <v>221</v>
      </c>
      <c r="D162" s="15" t="s">
        <v>222</v>
      </c>
      <c r="E162" s="15" t="s">
        <v>89</v>
      </c>
      <c r="F162" s="15" t="s">
        <v>89</v>
      </c>
      <c r="G162" s="15" t="s">
        <v>120</v>
      </c>
      <c r="H162" s="15" t="s">
        <v>91</v>
      </c>
      <c r="I162" s="15" t="s">
        <v>92</v>
      </c>
      <c r="J162" s="15" t="s">
        <v>144</v>
      </c>
      <c r="K162" s="16" t="s">
        <v>347</v>
      </c>
      <c r="L162" s="16" t="s">
        <v>913</v>
      </c>
      <c r="M162" s="16" t="s">
        <v>914</v>
      </c>
      <c r="N162" s="15" t="s">
        <v>915</v>
      </c>
      <c r="O162" s="15" t="s">
        <v>98</v>
      </c>
      <c r="P162" s="15" t="s">
        <v>351</v>
      </c>
      <c r="Q162" s="15"/>
      <c r="R162" s="15" t="s">
        <v>127</v>
      </c>
      <c r="S162" s="15" t="s">
        <v>114</v>
      </c>
      <c r="T162" s="15" t="str">
        <f>HYPERLINK("http://ovopark.oss-cn-hangzhou.aliyuncs.com/202009201344025647.jpeg","查看图片")</f>
        <v>查看图片</v>
      </c>
      <c r="U162" s="15" t="s">
        <v>7</v>
      </c>
      <c r="V162" s="15" t="s">
        <v>916</v>
      </c>
      <c r="W162" s="13" t="s">
        <v>102</v>
      </c>
      <c r="X162" s="13" t="s">
        <v>31</v>
      </c>
    </row>
    <row r="163" customHeight="1" spans="1:24">
      <c r="A163" s="15" t="s">
        <v>917</v>
      </c>
      <c r="B163" s="15" t="s">
        <v>38</v>
      </c>
      <c r="C163" s="15" t="s">
        <v>221</v>
      </c>
      <c r="D163" s="15" t="s">
        <v>222</v>
      </c>
      <c r="E163" s="15" t="s">
        <v>89</v>
      </c>
      <c r="F163" s="15" t="s">
        <v>89</v>
      </c>
      <c r="G163" s="15" t="s">
        <v>120</v>
      </c>
      <c r="H163" s="15" t="s">
        <v>91</v>
      </c>
      <c r="I163" s="15" t="s">
        <v>92</v>
      </c>
      <c r="J163" s="15" t="s">
        <v>144</v>
      </c>
      <c r="K163" s="16" t="s">
        <v>347</v>
      </c>
      <c r="L163" s="16" t="s">
        <v>918</v>
      </c>
      <c r="M163" s="16" t="s">
        <v>919</v>
      </c>
      <c r="N163" s="15" t="s">
        <v>915</v>
      </c>
      <c r="O163" s="15" t="s">
        <v>98</v>
      </c>
      <c r="P163" s="15" t="s">
        <v>351</v>
      </c>
      <c r="Q163" s="15"/>
      <c r="R163" s="15" t="s">
        <v>127</v>
      </c>
      <c r="S163" s="15" t="s">
        <v>114</v>
      </c>
      <c r="T163" s="15" t="str">
        <f>HYPERLINK("http://ovopark.oss-cn-hangzhou.aliyuncs.com/202009201344218006.jpeg","查看图片")</f>
        <v>查看图片</v>
      </c>
      <c r="U163" s="15" t="s">
        <v>7</v>
      </c>
      <c r="V163" s="15" t="s">
        <v>920</v>
      </c>
      <c r="W163" s="13" t="s">
        <v>102</v>
      </c>
      <c r="X163" s="13" t="s">
        <v>31</v>
      </c>
    </row>
    <row r="164" customHeight="1" spans="1:24">
      <c r="A164" s="15" t="s">
        <v>921</v>
      </c>
      <c r="B164" s="15" t="s">
        <v>38</v>
      </c>
      <c r="C164" s="15" t="s">
        <v>221</v>
      </c>
      <c r="D164" s="15" t="s">
        <v>222</v>
      </c>
      <c r="E164" s="15" t="s">
        <v>89</v>
      </c>
      <c r="F164" s="15" t="s">
        <v>89</v>
      </c>
      <c r="G164" s="15" t="s">
        <v>120</v>
      </c>
      <c r="H164" s="15" t="s">
        <v>91</v>
      </c>
      <c r="I164" s="15" t="s">
        <v>92</v>
      </c>
      <c r="J164" s="15" t="s">
        <v>144</v>
      </c>
      <c r="K164" s="16" t="s">
        <v>347</v>
      </c>
      <c r="L164" s="16" t="s">
        <v>922</v>
      </c>
      <c r="M164" s="16" t="s">
        <v>923</v>
      </c>
      <c r="N164" s="15" t="s">
        <v>915</v>
      </c>
      <c r="O164" s="15" t="s">
        <v>98</v>
      </c>
      <c r="P164" s="15" t="s">
        <v>351</v>
      </c>
      <c r="Q164" s="15"/>
      <c r="R164" s="15" t="s">
        <v>127</v>
      </c>
      <c r="S164" s="15" t="s">
        <v>114</v>
      </c>
      <c r="T164" s="15" t="str">
        <f>HYPERLINK("http://ovopark.oss-cn-hangzhou.aliyuncs.com/202009201344426334.jpeg","查看图片")</f>
        <v>查看图片</v>
      </c>
      <c r="U164" s="15" t="s">
        <v>7</v>
      </c>
      <c r="V164" s="15" t="s">
        <v>924</v>
      </c>
      <c r="W164" s="13" t="s">
        <v>102</v>
      </c>
      <c r="X164" s="13" t="s">
        <v>31</v>
      </c>
    </row>
    <row r="165" customHeight="1" spans="1:24">
      <c r="A165" s="15" t="s">
        <v>925</v>
      </c>
      <c r="B165" s="15" t="s">
        <v>38</v>
      </c>
      <c r="C165" s="15" t="s">
        <v>221</v>
      </c>
      <c r="D165" s="15" t="s">
        <v>222</v>
      </c>
      <c r="E165" s="15" t="s">
        <v>89</v>
      </c>
      <c r="F165" s="15" t="s">
        <v>89</v>
      </c>
      <c r="G165" s="15" t="s">
        <v>120</v>
      </c>
      <c r="H165" s="15" t="s">
        <v>91</v>
      </c>
      <c r="I165" s="15" t="s">
        <v>92</v>
      </c>
      <c r="J165" s="15" t="s">
        <v>144</v>
      </c>
      <c r="K165" s="16" t="s">
        <v>347</v>
      </c>
      <c r="L165" s="16" t="s">
        <v>926</v>
      </c>
      <c r="M165" s="16" t="s">
        <v>927</v>
      </c>
      <c r="N165" s="15" t="s">
        <v>915</v>
      </c>
      <c r="O165" s="15" t="s">
        <v>98</v>
      </c>
      <c r="P165" s="15" t="s">
        <v>351</v>
      </c>
      <c r="Q165" s="15"/>
      <c r="R165" s="15" t="s">
        <v>127</v>
      </c>
      <c r="S165" s="15" t="s">
        <v>114</v>
      </c>
      <c r="T165" s="15" t="str">
        <f>HYPERLINK("http://ovopark.oss-cn-hangzhou.aliyuncs.com/202009201344542414.jpeg","查看图片")</f>
        <v>查看图片</v>
      </c>
      <c r="U165" s="15" t="s">
        <v>7</v>
      </c>
      <c r="V165" s="15" t="s">
        <v>928</v>
      </c>
      <c r="W165" s="13" t="s">
        <v>102</v>
      </c>
      <c r="X165" s="13" t="s">
        <v>31</v>
      </c>
    </row>
    <row r="166" customHeight="1" spans="1:24">
      <c r="A166" s="15" t="s">
        <v>929</v>
      </c>
      <c r="B166" s="15" t="s">
        <v>38</v>
      </c>
      <c r="C166" s="15" t="s">
        <v>221</v>
      </c>
      <c r="D166" s="15" t="s">
        <v>222</v>
      </c>
      <c r="E166" s="15" t="s">
        <v>89</v>
      </c>
      <c r="F166" s="15" t="s">
        <v>89</v>
      </c>
      <c r="G166" s="15" t="s">
        <v>120</v>
      </c>
      <c r="H166" s="15" t="s">
        <v>91</v>
      </c>
      <c r="I166" s="15" t="s">
        <v>92</v>
      </c>
      <c r="J166" s="15" t="s">
        <v>144</v>
      </c>
      <c r="K166" s="16" t="s">
        <v>347</v>
      </c>
      <c r="L166" s="16" t="s">
        <v>930</v>
      </c>
      <c r="M166" s="16" t="s">
        <v>931</v>
      </c>
      <c r="N166" s="15" t="s">
        <v>915</v>
      </c>
      <c r="O166" s="15" t="s">
        <v>98</v>
      </c>
      <c r="P166" s="15" t="s">
        <v>351</v>
      </c>
      <c r="Q166" s="15"/>
      <c r="R166" s="15" t="s">
        <v>127</v>
      </c>
      <c r="S166" s="15" t="s">
        <v>114</v>
      </c>
      <c r="T166" s="15" t="str">
        <f>HYPERLINK("http://ovopark.oss-cn-hangzhou.aliyuncs.com/202009201345052980.jpeg","查看图片")</f>
        <v>查看图片</v>
      </c>
      <c r="U166" s="15" t="s">
        <v>7</v>
      </c>
      <c r="V166" s="15" t="s">
        <v>932</v>
      </c>
      <c r="W166" s="13" t="s">
        <v>102</v>
      </c>
      <c r="X166" s="13" t="s">
        <v>31</v>
      </c>
    </row>
    <row r="167" customHeight="1" spans="1:24">
      <c r="A167" s="15" t="s">
        <v>933</v>
      </c>
      <c r="B167" s="15" t="s">
        <v>38</v>
      </c>
      <c r="C167" s="15" t="s">
        <v>221</v>
      </c>
      <c r="D167" s="15" t="s">
        <v>222</v>
      </c>
      <c r="E167" s="15" t="s">
        <v>89</v>
      </c>
      <c r="F167" s="15" t="s">
        <v>89</v>
      </c>
      <c r="G167" s="15" t="s">
        <v>120</v>
      </c>
      <c r="H167" s="15" t="s">
        <v>91</v>
      </c>
      <c r="I167" s="15" t="s">
        <v>92</v>
      </c>
      <c r="J167" s="15" t="s">
        <v>144</v>
      </c>
      <c r="K167" s="16" t="s">
        <v>347</v>
      </c>
      <c r="L167" s="16" t="s">
        <v>934</v>
      </c>
      <c r="M167" s="16" t="s">
        <v>935</v>
      </c>
      <c r="N167" s="15" t="s">
        <v>915</v>
      </c>
      <c r="O167" s="15" t="s">
        <v>98</v>
      </c>
      <c r="P167" s="15" t="s">
        <v>351</v>
      </c>
      <c r="Q167" s="15"/>
      <c r="R167" s="15" t="s">
        <v>127</v>
      </c>
      <c r="S167" s="15" t="s">
        <v>114</v>
      </c>
      <c r="T167" s="15" t="str">
        <f>HYPERLINK("http://ovopark.oss-cn-hangzhou.aliyuncs.com/202009201345175693.jpeg","查看图片")</f>
        <v>查看图片</v>
      </c>
      <c r="U167" s="15" t="s">
        <v>7</v>
      </c>
      <c r="V167" s="15" t="s">
        <v>936</v>
      </c>
      <c r="W167" s="13" t="s">
        <v>102</v>
      </c>
      <c r="X167" s="13" t="s">
        <v>31</v>
      </c>
    </row>
    <row r="168" customHeight="1" spans="1:24">
      <c r="A168" s="15" t="s">
        <v>937</v>
      </c>
      <c r="B168" s="15" t="s">
        <v>34</v>
      </c>
      <c r="C168" s="15" t="s">
        <v>221</v>
      </c>
      <c r="D168" s="15" t="s">
        <v>222</v>
      </c>
      <c r="E168" s="15" t="s">
        <v>89</v>
      </c>
      <c r="F168" s="15" t="s">
        <v>89</v>
      </c>
      <c r="G168" s="15" t="s">
        <v>120</v>
      </c>
      <c r="H168" s="15" t="s">
        <v>91</v>
      </c>
      <c r="I168" s="15" t="s">
        <v>92</v>
      </c>
      <c r="J168" s="15" t="s">
        <v>144</v>
      </c>
      <c r="K168" s="16" t="s">
        <v>347</v>
      </c>
      <c r="L168" s="16" t="s">
        <v>938</v>
      </c>
      <c r="M168" s="16" t="s">
        <v>939</v>
      </c>
      <c r="N168" s="15" t="s">
        <v>940</v>
      </c>
      <c r="O168" s="15" t="s">
        <v>98</v>
      </c>
      <c r="P168" s="15" t="s">
        <v>351</v>
      </c>
      <c r="Q168" s="15"/>
      <c r="R168" s="15" t="s">
        <v>127</v>
      </c>
      <c r="S168" s="15" t="s">
        <v>114</v>
      </c>
      <c r="T168" s="15" t="str">
        <f>HYPERLINK("http://ovopark.oss-cn-hangzhou.aliyuncs.com/1943_27514590658720_image_1600584651578.jpg","查看图片")</f>
        <v>查看图片</v>
      </c>
      <c r="U168" s="15" t="s">
        <v>7</v>
      </c>
      <c r="V168" s="15" t="s">
        <v>941</v>
      </c>
      <c r="W168" s="13" t="s">
        <v>102</v>
      </c>
      <c r="X168" s="13" t="s">
        <v>31</v>
      </c>
    </row>
    <row r="169" customHeight="1" spans="1:24">
      <c r="A169" s="15" t="s">
        <v>942</v>
      </c>
      <c r="B169" s="15" t="s">
        <v>34</v>
      </c>
      <c r="C169" s="15" t="s">
        <v>221</v>
      </c>
      <c r="D169" s="15" t="s">
        <v>222</v>
      </c>
      <c r="E169" s="15" t="s">
        <v>89</v>
      </c>
      <c r="F169" s="15" t="s">
        <v>89</v>
      </c>
      <c r="G169" s="15" t="s">
        <v>120</v>
      </c>
      <c r="H169" s="15" t="s">
        <v>91</v>
      </c>
      <c r="I169" s="15" t="s">
        <v>92</v>
      </c>
      <c r="J169" s="15" t="s">
        <v>144</v>
      </c>
      <c r="K169" s="16" t="s">
        <v>347</v>
      </c>
      <c r="L169" s="16" t="s">
        <v>943</v>
      </c>
      <c r="M169" s="16" t="s">
        <v>944</v>
      </c>
      <c r="N169" s="15" t="s">
        <v>940</v>
      </c>
      <c r="O169" s="15" t="s">
        <v>98</v>
      </c>
      <c r="P169" s="15" t="s">
        <v>351</v>
      </c>
      <c r="Q169" s="15"/>
      <c r="R169" s="15" t="s">
        <v>127</v>
      </c>
      <c r="S169" s="15" t="s">
        <v>114</v>
      </c>
      <c r="T169" s="15" t="str">
        <f>HYPERLINK("http://ovopark.oss-cn-hangzhou.aliyuncs.com/1943_27543409514178_image_1600584679949.jpg","查看图片")</f>
        <v>查看图片</v>
      </c>
      <c r="U169" s="15" t="s">
        <v>7</v>
      </c>
      <c r="V169" s="15" t="s">
        <v>945</v>
      </c>
      <c r="W169" s="13" t="s">
        <v>102</v>
      </c>
      <c r="X169" s="13" t="s">
        <v>31</v>
      </c>
    </row>
    <row r="170" customHeight="1" spans="1:24">
      <c r="A170" s="15" t="s">
        <v>946</v>
      </c>
      <c r="B170" s="15" t="s">
        <v>34</v>
      </c>
      <c r="C170" s="15" t="s">
        <v>221</v>
      </c>
      <c r="D170" s="15" t="s">
        <v>222</v>
      </c>
      <c r="E170" s="15" t="s">
        <v>89</v>
      </c>
      <c r="F170" s="15" t="s">
        <v>89</v>
      </c>
      <c r="G170" s="15" t="s">
        <v>120</v>
      </c>
      <c r="H170" s="15" t="s">
        <v>91</v>
      </c>
      <c r="I170" s="15" t="s">
        <v>92</v>
      </c>
      <c r="J170" s="15" t="s">
        <v>144</v>
      </c>
      <c r="K170" s="16" t="s">
        <v>347</v>
      </c>
      <c r="L170" s="16" t="s">
        <v>947</v>
      </c>
      <c r="M170" s="16" t="s">
        <v>948</v>
      </c>
      <c r="N170" s="15" t="s">
        <v>940</v>
      </c>
      <c r="O170" s="15" t="s">
        <v>98</v>
      </c>
      <c r="P170" s="15" t="s">
        <v>351</v>
      </c>
      <c r="Q170" s="15"/>
      <c r="R170" s="15" t="s">
        <v>127</v>
      </c>
      <c r="S170" s="15" t="s">
        <v>114</v>
      </c>
      <c r="T170" s="15" t="s">
        <v>114</v>
      </c>
      <c r="U170" s="15" t="s">
        <v>7</v>
      </c>
      <c r="V170" s="15" t="s">
        <v>949</v>
      </c>
      <c r="W170" s="13" t="s">
        <v>102</v>
      </c>
      <c r="X170" s="13" t="s">
        <v>31</v>
      </c>
    </row>
    <row r="171" customHeight="1" spans="1:24">
      <c r="A171" s="15" t="s">
        <v>950</v>
      </c>
      <c r="B171" s="15" t="s">
        <v>34</v>
      </c>
      <c r="C171" s="15" t="s">
        <v>221</v>
      </c>
      <c r="D171" s="15" t="s">
        <v>222</v>
      </c>
      <c r="E171" s="15" t="s">
        <v>89</v>
      </c>
      <c r="F171" s="15" t="s">
        <v>89</v>
      </c>
      <c r="G171" s="15" t="s">
        <v>120</v>
      </c>
      <c r="H171" s="15" t="s">
        <v>91</v>
      </c>
      <c r="I171" s="15" t="s">
        <v>92</v>
      </c>
      <c r="J171" s="15" t="s">
        <v>144</v>
      </c>
      <c r="K171" s="16" t="s">
        <v>347</v>
      </c>
      <c r="L171" s="16" t="s">
        <v>951</v>
      </c>
      <c r="M171" s="16" t="s">
        <v>952</v>
      </c>
      <c r="N171" s="15" t="s">
        <v>940</v>
      </c>
      <c r="O171" s="15" t="s">
        <v>98</v>
      </c>
      <c r="P171" s="15" t="s">
        <v>351</v>
      </c>
      <c r="Q171" s="15"/>
      <c r="R171" s="15" t="s">
        <v>127</v>
      </c>
      <c r="S171" s="15" t="s">
        <v>114</v>
      </c>
      <c r="T171" s="15" t="str">
        <f>HYPERLINK("http://ovopark.oss-cn-hangzhou.aliyuncs.com/1943_28371464778237_image_1600586585845.jpg","查看图片")</f>
        <v>查看图片</v>
      </c>
      <c r="U171" s="15" t="s">
        <v>7</v>
      </c>
      <c r="V171" s="15" t="s">
        <v>953</v>
      </c>
      <c r="W171" s="13" t="s">
        <v>102</v>
      </c>
      <c r="X171" s="13" t="s">
        <v>31</v>
      </c>
    </row>
    <row r="172" customHeight="1" spans="1:24">
      <c r="A172" s="15" t="s">
        <v>954</v>
      </c>
      <c r="B172" s="15" t="s">
        <v>34</v>
      </c>
      <c r="C172" s="15" t="s">
        <v>221</v>
      </c>
      <c r="D172" s="15" t="s">
        <v>222</v>
      </c>
      <c r="E172" s="15" t="s">
        <v>89</v>
      </c>
      <c r="F172" s="15" t="s">
        <v>89</v>
      </c>
      <c r="G172" s="15" t="s">
        <v>120</v>
      </c>
      <c r="H172" s="15" t="s">
        <v>91</v>
      </c>
      <c r="I172" s="15" t="s">
        <v>92</v>
      </c>
      <c r="J172" s="15" t="s">
        <v>144</v>
      </c>
      <c r="K172" s="16" t="s">
        <v>347</v>
      </c>
      <c r="L172" s="16" t="s">
        <v>955</v>
      </c>
      <c r="M172" s="16" t="s">
        <v>956</v>
      </c>
      <c r="N172" s="15" t="s">
        <v>940</v>
      </c>
      <c r="O172" s="15" t="s">
        <v>98</v>
      </c>
      <c r="P172" s="15" t="s">
        <v>351</v>
      </c>
      <c r="Q172" s="15"/>
      <c r="R172" s="15" t="s">
        <v>127</v>
      </c>
      <c r="S172" s="15" t="s">
        <v>114</v>
      </c>
      <c r="T172" s="15" t="str">
        <f>HYPERLINK("http://ovopark.oss-cn-hangzhou.aliyuncs.com/1943_28388220643595_image_1600586600836.jpg","查看图片")</f>
        <v>查看图片</v>
      </c>
      <c r="U172" s="15" t="s">
        <v>7</v>
      </c>
      <c r="V172" s="15" t="s">
        <v>957</v>
      </c>
      <c r="W172" s="13" t="s">
        <v>102</v>
      </c>
      <c r="X172" s="13" t="s">
        <v>31</v>
      </c>
    </row>
    <row r="173" customHeight="1" spans="1:24">
      <c r="A173" s="15" t="s">
        <v>958</v>
      </c>
      <c r="B173" s="15" t="s">
        <v>34</v>
      </c>
      <c r="C173" s="15" t="s">
        <v>221</v>
      </c>
      <c r="D173" s="15" t="s">
        <v>222</v>
      </c>
      <c r="E173" s="15" t="s">
        <v>89</v>
      </c>
      <c r="F173" s="15" t="s">
        <v>89</v>
      </c>
      <c r="G173" s="15" t="s">
        <v>120</v>
      </c>
      <c r="H173" s="15" t="s">
        <v>91</v>
      </c>
      <c r="I173" s="15" t="s">
        <v>92</v>
      </c>
      <c r="J173" s="15" t="s">
        <v>144</v>
      </c>
      <c r="K173" s="16" t="s">
        <v>347</v>
      </c>
      <c r="L173" s="16" t="s">
        <v>959</v>
      </c>
      <c r="M173" s="16" t="s">
        <v>960</v>
      </c>
      <c r="N173" s="15" t="s">
        <v>940</v>
      </c>
      <c r="O173" s="15" t="s">
        <v>98</v>
      </c>
      <c r="P173" s="15" t="s">
        <v>351</v>
      </c>
      <c r="Q173" s="15"/>
      <c r="R173" s="15" t="s">
        <v>127</v>
      </c>
      <c r="S173" s="15" t="s">
        <v>114</v>
      </c>
      <c r="T173" s="15" t="str">
        <f>HYPERLINK("http://ovopark.oss-cn-hangzhou.aliyuncs.com/1943_28400907178486_image_1600586615429.jpg","查看图片")</f>
        <v>查看图片</v>
      </c>
      <c r="U173" s="15" t="s">
        <v>7</v>
      </c>
      <c r="V173" s="15" t="s">
        <v>961</v>
      </c>
      <c r="W173" s="13" t="s">
        <v>102</v>
      </c>
      <c r="X173" s="13" t="s">
        <v>31</v>
      </c>
    </row>
    <row r="174" customHeight="1" spans="1:24">
      <c r="A174" s="15" t="s">
        <v>962</v>
      </c>
      <c r="B174" s="15" t="s">
        <v>46</v>
      </c>
      <c r="C174" s="15" t="s">
        <v>221</v>
      </c>
      <c r="D174" s="15" t="s">
        <v>222</v>
      </c>
      <c r="E174" s="15" t="s">
        <v>89</v>
      </c>
      <c r="F174" s="15" t="s">
        <v>89</v>
      </c>
      <c r="G174" s="15" t="s">
        <v>120</v>
      </c>
      <c r="H174" s="15" t="s">
        <v>91</v>
      </c>
      <c r="I174" s="15" t="s">
        <v>92</v>
      </c>
      <c r="J174" s="15" t="s">
        <v>144</v>
      </c>
      <c r="K174" s="16" t="s">
        <v>347</v>
      </c>
      <c r="L174" s="16" t="s">
        <v>963</v>
      </c>
      <c r="M174" s="16" t="s">
        <v>964</v>
      </c>
      <c r="N174" s="15" t="s">
        <v>965</v>
      </c>
      <c r="O174" s="15" t="s">
        <v>98</v>
      </c>
      <c r="P174" s="15" t="s">
        <v>351</v>
      </c>
      <c r="Q174" s="15"/>
      <c r="R174" s="15" t="s">
        <v>127</v>
      </c>
      <c r="S174" s="15" t="s">
        <v>114</v>
      </c>
      <c r="T174" s="15" t="s">
        <v>114</v>
      </c>
      <c r="U174" s="15" t="s">
        <v>7</v>
      </c>
      <c r="V174" s="15" t="s">
        <v>966</v>
      </c>
      <c r="W174" s="13" t="s">
        <v>102</v>
      </c>
      <c r="X174" s="13" t="s">
        <v>31</v>
      </c>
    </row>
    <row r="175" customHeight="1" spans="1:24">
      <c r="A175" s="15" t="s">
        <v>967</v>
      </c>
      <c r="B175" s="15" t="s">
        <v>46</v>
      </c>
      <c r="C175" s="15" t="s">
        <v>221</v>
      </c>
      <c r="D175" s="15" t="s">
        <v>222</v>
      </c>
      <c r="E175" s="15" t="s">
        <v>89</v>
      </c>
      <c r="F175" s="15" t="s">
        <v>89</v>
      </c>
      <c r="G175" s="15" t="s">
        <v>120</v>
      </c>
      <c r="H175" s="15" t="s">
        <v>91</v>
      </c>
      <c r="I175" s="15" t="s">
        <v>92</v>
      </c>
      <c r="J175" s="15" t="s">
        <v>144</v>
      </c>
      <c r="K175" s="16" t="s">
        <v>347</v>
      </c>
      <c r="L175" s="16" t="s">
        <v>968</v>
      </c>
      <c r="M175" s="16" t="s">
        <v>969</v>
      </c>
      <c r="N175" s="15" t="s">
        <v>965</v>
      </c>
      <c r="O175" s="15" t="s">
        <v>98</v>
      </c>
      <c r="P175" s="15" t="s">
        <v>351</v>
      </c>
      <c r="Q175" s="15"/>
      <c r="R175" s="15" t="s">
        <v>127</v>
      </c>
      <c r="S175" s="15" t="s">
        <v>114</v>
      </c>
      <c r="T175" s="15" t="s">
        <v>114</v>
      </c>
      <c r="U175" s="15" t="s">
        <v>7</v>
      </c>
      <c r="V175" s="15" t="s">
        <v>970</v>
      </c>
      <c r="W175" s="13" t="s">
        <v>102</v>
      </c>
      <c r="X175" s="13" t="s">
        <v>31</v>
      </c>
    </row>
    <row r="176" customHeight="1" spans="1:24">
      <c r="A176" s="15" t="s">
        <v>971</v>
      </c>
      <c r="B176" s="15" t="s">
        <v>46</v>
      </c>
      <c r="C176" s="15" t="s">
        <v>221</v>
      </c>
      <c r="D176" s="15" t="s">
        <v>222</v>
      </c>
      <c r="E176" s="15" t="s">
        <v>89</v>
      </c>
      <c r="F176" s="15" t="s">
        <v>89</v>
      </c>
      <c r="G176" s="15" t="s">
        <v>120</v>
      </c>
      <c r="H176" s="15" t="s">
        <v>91</v>
      </c>
      <c r="I176" s="15" t="s">
        <v>92</v>
      </c>
      <c r="J176" s="15" t="s">
        <v>144</v>
      </c>
      <c r="K176" s="16" t="s">
        <v>347</v>
      </c>
      <c r="L176" s="16" t="s">
        <v>972</v>
      </c>
      <c r="M176" s="16" t="s">
        <v>973</v>
      </c>
      <c r="N176" s="15" t="s">
        <v>965</v>
      </c>
      <c r="O176" s="15" t="s">
        <v>98</v>
      </c>
      <c r="P176" s="15" t="s">
        <v>351</v>
      </c>
      <c r="Q176" s="15"/>
      <c r="R176" s="15" t="s">
        <v>127</v>
      </c>
      <c r="S176" s="15" t="s">
        <v>114</v>
      </c>
      <c r="T176" s="15" t="s">
        <v>114</v>
      </c>
      <c r="U176" s="15" t="s">
        <v>7</v>
      </c>
      <c r="V176" s="15" t="s">
        <v>974</v>
      </c>
      <c r="W176" s="13" t="s">
        <v>102</v>
      </c>
      <c r="X176" s="13" t="s">
        <v>31</v>
      </c>
    </row>
    <row r="177" customHeight="1" spans="1:24">
      <c r="A177" s="15" t="s">
        <v>975</v>
      </c>
      <c r="B177" s="15" t="s">
        <v>46</v>
      </c>
      <c r="C177" s="15" t="s">
        <v>221</v>
      </c>
      <c r="D177" s="15" t="s">
        <v>222</v>
      </c>
      <c r="E177" s="15" t="s">
        <v>89</v>
      </c>
      <c r="F177" s="15" t="s">
        <v>89</v>
      </c>
      <c r="G177" s="15" t="s">
        <v>120</v>
      </c>
      <c r="H177" s="15" t="s">
        <v>91</v>
      </c>
      <c r="I177" s="15" t="s">
        <v>92</v>
      </c>
      <c r="J177" s="15" t="s">
        <v>144</v>
      </c>
      <c r="K177" s="16" t="s">
        <v>347</v>
      </c>
      <c r="L177" s="16" t="s">
        <v>976</v>
      </c>
      <c r="M177" s="16" t="s">
        <v>977</v>
      </c>
      <c r="N177" s="15" t="s">
        <v>965</v>
      </c>
      <c r="O177" s="15" t="s">
        <v>98</v>
      </c>
      <c r="P177" s="15" t="s">
        <v>351</v>
      </c>
      <c r="Q177" s="15"/>
      <c r="R177" s="15" t="s">
        <v>127</v>
      </c>
      <c r="S177" s="15" t="s">
        <v>114</v>
      </c>
      <c r="T177" s="15" t="s">
        <v>114</v>
      </c>
      <c r="U177" s="15" t="s">
        <v>7</v>
      </c>
      <c r="V177" s="15" t="s">
        <v>978</v>
      </c>
      <c r="W177" s="13" t="s">
        <v>102</v>
      </c>
      <c r="X177" s="13" t="s">
        <v>31</v>
      </c>
    </row>
    <row r="178" customHeight="1" spans="1:24">
      <c r="A178" s="15" t="s">
        <v>979</v>
      </c>
      <c r="B178" s="15" t="s">
        <v>46</v>
      </c>
      <c r="C178" s="15" t="s">
        <v>221</v>
      </c>
      <c r="D178" s="15" t="s">
        <v>222</v>
      </c>
      <c r="E178" s="15" t="s">
        <v>89</v>
      </c>
      <c r="F178" s="15" t="s">
        <v>89</v>
      </c>
      <c r="G178" s="15" t="s">
        <v>120</v>
      </c>
      <c r="H178" s="15" t="s">
        <v>91</v>
      </c>
      <c r="I178" s="15" t="s">
        <v>92</v>
      </c>
      <c r="J178" s="15" t="s">
        <v>144</v>
      </c>
      <c r="K178" s="16" t="s">
        <v>347</v>
      </c>
      <c r="L178" s="16" t="s">
        <v>980</v>
      </c>
      <c r="M178" s="16" t="s">
        <v>981</v>
      </c>
      <c r="N178" s="15" t="s">
        <v>965</v>
      </c>
      <c r="O178" s="15" t="s">
        <v>98</v>
      </c>
      <c r="P178" s="15" t="s">
        <v>351</v>
      </c>
      <c r="Q178" s="15"/>
      <c r="R178" s="15" t="s">
        <v>127</v>
      </c>
      <c r="S178" s="15" t="s">
        <v>114</v>
      </c>
      <c r="T178" s="15" t="s">
        <v>114</v>
      </c>
      <c r="U178" s="15" t="s">
        <v>7</v>
      </c>
      <c r="V178" s="15" t="s">
        <v>982</v>
      </c>
      <c r="W178" s="13" t="s">
        <v>102</v>
      </c>
      <c r="X178" s="13" t="s">
        <v>31</v>
      </c>
    </row>
    <row r="179" customHeight="1" spans="1:24">
      <c r="A179" s="15" t="s">
        <v>983</v>
      </c>
      <c r="B179" s="15" t="s">
        <v>46</v>
      </c>
      <c r="C179" s="15" t="s">
        <v>221</v>
      </c>
      <c r="D179" s="15" t="s">
        <v>222</v>
      </c>
      <c r="E179" s="15" t="s">
        <v>89</v>
      </c>
      <c r="F179" s="15" t="s">
        <v>89</v>
      </c>
      <c r="G179" s="15" t="s">
        <v>120</v>
      </c>
      <c r="H179" s="15" t="s">
        <v>91</v>
      </c>
      <c r="I179" s="15" t="s">
        <v>92</v>
      </c>
      <c r="J179" s="15" t="s">
        <v>144</v>
      </c>
      <c r="K179" s="16" t="s">
        <v>347</v>
      </c>
      <c r="L179" s="16" t="s">
        <v>984</v>
      </c>
      <c r="M179" s="16" t="s">
        <v>985</v>
      </c>
      <c r="N179" s="15" t="s">
        <v>965</v>
      </c>
      <c r="O179" s="15" t="s">
        <v>98</v>
      </c>
      <c r="P179" s="15" t="s">
        <v>351</v>
      </c>
      <c r="Q179" s="15"/>
      <c r="R179" s="15" t="s">
        <v>127</v>
      </c>
      <c r="S179" s="15" t="s">
        <v>114</v>
      </c>
      <c r="T179" s="15" t="s">
        <v>114</v>
      </c>
      <c r="U179" s="15" t="s">
        <v>7</v>
      </c>
      <c r="V179" s="15" t="s">
        <v>986</v>
      </c>
      <c r="W179" s="13" t="s">
        <v>102</v>
      </c>
      <c r="X179" s="13" t="s">
        <v>31</v>
      </c>
    </row>
    <row r="180" customHeight="1" spans="1:24">
      <c r="A180" s="15" t="s">
        <v>987</v>
      </c>
      <c r="B180" s="15" t="s">
        <v>46</v>
      </c>
      <c r="C180" s="15" t="s">
        <v>221</v>
      </c>
      <c r="D180" s="15" t="s">
        <v>222</v>
      </c>
      <c r="E180" s="15" t="s">
        <v>89</v>
      </c>
      <c r="F180" s="15" t="s">
        <v>89</v>
      </c>
      <c r="G180" s="15" t="s">
        <v>120</v>
      </c>
      <c r="H180" s="15" t="s">
        <v>91</v>
      </c>
      <c r="I180" s="15" t="s">
        <v>92</v>
      </c>
      <c r="J180" s="15" t="s">
        <v>170</v>
      </c>
      <c r="K180" s="16" t="s">
        <v>181</v>
      </c>
      <c r="L180" s="16" t="s">
        <v>988</v>
      </c>
      <c r="M180" s="16" t="s">
        <v>989</v>
      </c>
      <c r="N180" s="15" t="s">
        <v>965</v>
      </c>
      <c r="O180" s="15" t="s">
        <v>98</v>
      </c>
      <c r="P180" s="15" t="s">
        <v>351</v>
      </c>
      <c r="Q180" s="15"/>
      <c r="R180" s="15" t="s">
        <v>127</v>
      </c>
      <c r="S180" s="15" t="s">
        <v>114</v>
      </c>
      <c r="T180" s="15" t="s">
        <v>114</v>
      </c>
      <c r="U180" s="15" t="s">
        <v>7</v>
      </c>
      <c r="V180" s="15" t="s">
        <v>990</v>
      </c>
      <c r="W180" s="13" t="s">
        <v>102</v>
      </c>
      <c r="X180" s="13" t="s">
        <v>31</v>
      </c>
    </row>
    <row r="181" customHeight="1" spans="1:24">
      <c r="A181" s="15" t="s">
        <v>991</v>
      </c>
      <c r="B181" s="15" t="s">
        <v>46</v>
      </c>
      <c r="C181" s="15" t="s">
        <v>221</v>
      </c>
      <c r="D181" s="15" t="s">
        <v>222</v>
      </c>
      <c r="E181" s="15" t="s">
        <v>89</v>
      </c>
      <c r="F181" s="15" t="s">
        <v>89</v>
      </c>
      <c r="G181" s="15" t="s">
        <v>120</v>
      </c>
      <c r="H181" s="15" t="s">
        <v>91</v>
      </c>
      <c r="I181" s="15" t="s">
        <v>92</v>
      </c>
      <c r="J181" s="15" t="s">
        <v>170</v>
      </c>
      <c r="K181" s="16" t="s">
        <v>181</v>
      </c>
      <c r="L181" s="16" t="s">
        <v>992</v>
      </c>
      <c r="M181" s="16" t="s">
        <v>993</v>
      </c>
      <c r="N181" s="15" t="s">
        <v>965</v>
      </c>
      <c r="O181" s="15" t="s">
        <v>98</v>
      </c>
      <c r="P181" s="15" t="s">
        <v>351</v>
      </c>
      <c r="Q181" s="15"/>
      <c r="R181" s="15" t="s">
        <v>127</v>
      </c>
      <c r="S181" s="15" t="s">
        <v>114</v>
      </c>
      <c r="T181" s="15" t="s">
        <v>114</v>
      </c>
      <c r="U181" s="15" t="s">
        <v>7</v>
      </c>
      <c r="V181" s="15" t="s">
        <v>994</v>
      </c>
      <c r="W181" s="13" t="s">
        <v>102</v>
      </c>
      <c r="X181" s="13" t="s">
        <v>31</v>
      </c>
    </row>
    <row r="182" customHeight="1" spans="1:24">
      <c r="A182" s="15" t="s">
        <v>995</v>
      </c>
      <c r="B182" s="15" t="s">
        <v>46</v>
      </c>
      <c r="C182" s="15" t="s">
        <v>221</v>
      </c>
      <c r="D182" s="15" t="s">
        <v>222</v>
      </c>
      <c r="E182" s="15" t="s">
        <v>89</v>
      </c>
      <c r="F182" s="15" t="s">
        <v>89</v>
      </c>
      <c r="G182" s="15" t="s">
        <v>120</v>
      </c>
      <c r="H182" s="15" t="s">
        <v>91</v>
      </c>
      <c r="I182" s="15" t="s">
        <v>92</v>
      </c>
      <c r="J182" s="15" t="s">
        <v>170</v>
      </c>
      <c r="K182" s="16" t="s">
        <v>181</v>
      </c>
      <c r="L182" s="16" t="s">
        <v>996</v>
      </c>
      <c r="M182" s="16" t="s">
        <v>997</v>
      </c>
      <c r="N182" s="15" t="s">
        <v>965</v>
      </c>
      <c r="O182" s="15" t="s">
        <v>98</v>
      </c>
      <c r="P182" s="15" t="s">
        <v>351</v>
      </c>
      <c r="Q182" s="15"/>
      <c r="R182" s="15" t="s">
        <v>127</v>
      </c>
      <c r="S182" s="15" t="s">
        <v>114</v>
      </c>
      <c r="T182" s="15" t="s">
        <v>114</v>
      </c>
      <c r="U182" s="15" t="s">
        <v>7</v>
      </c>
      <c r="V182" s="15" t="s">
        <v>998</v>
      </c>
      <c r="W182" s="13" t="s">
        <v>102</v>
      </c>
      <c r="X182" s="13" t="s">
        <v>31</v>
      </c>
    </row>
    <row r="183" customHeight="1" spans="1:24">
      <c r="A183" s="15" t="s">
        <v>999</v>
      </c>
      <c r="B183" s="15" t="s">
        <v>46</v>
      </c>
      <c r="C183" s="15" t="s">
        <v>221</v>
      </c>
      <c r="D183" s="15" t="s">
        <v>222</v>
      </c>
      <c r="E183" s="15" t="s">
        <v>89</v>
      </c>
      <c r="F183" s="15" t="s">
        <v>89</v>
      </c>
      <c r="G183" s="15" t="s">
        <v>120</v>
      </c>
      <c r="H183" s="15" t="s">
        <v>91</v>
      </c>
      <c r="I183" s="15" t="s">
        <v>92</v>
      </c>
      <c r="J183" s="15" t="s">
        <v>170</v>
      </c>
      <c r="K183" s="16" t="s">
        <v>181</v>
      </c>
      <c r="L183" s="16" t="s">
        <v>1000</v>
      </c>
      <c r="M183" s="16" t="s">
        <v>1001</v>
      </c>
      <c r="N183" s="15" t="s">
        <v>965</v>
      </c>
      <c r="O183" s="15" t="s">
        <v>98</v>
      </c>
      <c r="P183" s="15" t="s">
        <v>351</v>
      </c>
      <c r="Q183" s="15"/>
      <c r="R183" s="15" t="s">
        <v>127</v>
      </c>
      <c r="S183" s="15" t="s">
        <v>114</v>
      </c>
      <c r="T183" s="15" t="s">
        <v>114</v>
      </c>
      <c r="U183" s="15" t="s">
        <v>7</v>
      </c>
      <c r="V183" s="15" t="s">
        <v>1002</v>
      </c>
      <c r="W183" s="13" t="s">
        <v>102</v>
      </c>
      <c r="X183" s="13" t="s">
        <v>31</v>
      </c>
    </row>
    <row r="184" customHeight="1" spans="1:24">
      <c r="A184" s="15" t="s">
        <v>1003</v>
      </c>
      <c r="B184" s="15" t="s">
        <v>46</v>
      </c>
      <c r="C184" s="15" t="s">
        <v>221</v>
      </c>
      <c r="D184" s="15" t="s">
        <v>222</v>
      </c>
      <c r="E184" s="15" t="s">
        <v>89</v>
      </c>
      <c r="F184" s="15" t="s">
        <v>89</v>
      </c>
      <c r="G184" s="15" t="s">
        <v>120</v>
      </c>
      <c r="H184" s="15" t="s">
        <v>91</v>
      </c>
      <c r="I184" s="15" t="s">
        <v>92</v>
      </c>
      <c r="J184" s="15" t="s">
        <v>170</v>
      </c>
      <c r="K184" s="16" t="s">
        <v>181</v>
      </c>
      <c r="L184" s="16" t="s">
        <v>1004</v>
      </c>
      <c r="M184" s="16" t="s">
        <v>1005</v>
      </c>
      <c r="N184" s="15" t="s">
        <v>965</v>
      </c>
      <c r="O184" s="15" t="s">
        <v>98</v>
      </c>
      <c r="P184" s="15" t="s">
        <v>351</v>
      </c>
      <c r="Q184" s="15"/>
      <c r="R184" s="15" t="s">
        <v>127</v>
      </c>
      <c r="S184" s="15" t="s">
        <v>114</v>
      </c>
      <c r="T184" s="15" t="s">
        <v>114</v>
      </c>
      <c r="U184" s="15" t="s">
        <v>7</v>
      </c>
      <c r="V184" s="15" t="s">
        <v>1006</v>
      </c>
      <c r="W184" s="13" t="s">
        <v>102</v>
      </c>
      <c r="X184" s="13" t="s">
        <v>31</v>
      </c>
    </row>
    <row r="185" customHeight="1" spans="1:24">
      <c r="A185" s="15" t="s">
        <v>1007</v>
      </c>
      <c r="B185" s="15" t="s">
        <v>46</v>
      </c>
      <c r="C185" s="15" t="s">
        <v>221</v>
      </c>
      <c r="D185" s="15" t="s">
        <v>222</v>
      </c>
      <c r="E185" s="15" t="s">
        <v>89</v>
      </c>
      <c r="F185" s="15" t="s">
        <v>89</v>
      </c>
      <c r="G185" s="15" t="s">
        <v>120</v>
      </c>
      <c r="H185" s="15" t="s">
        <v>91</v>
      </c>
      <c r="I185" s="15" t="s">
        <v>92</v>
      </c>
      <c r="J185" s="15" t="s">
        <v>170</v>
      </c>
      <c r="K185" s="16" t="s">
        <v>181</v>
      </c>
      <c r="L185" s="16" t="s">
        <v>1008</v>
      </c>
      <c r="M185" s="16" t="s">
        <v>1009</v>
      </c>
      <c r="N185" s="15" t="s">
        <v>965</v>
      </c>
      <c r="O185" s="15" t="s">
        <v>98</v>
      </c>
      <c r="P185" s="15" t="s">
        <v>351</v>
      </c>
      <c r="Q185" s="15"/>
      <c r="R185" s="15" t="s">
        <v>127</v>
      </c>
      <c r="S185" s="15" t="s">
        <v>114</v>
      </c>
      <c r="T185" s="15" t="s">
        <v>114</v>
      </c>
      <c r="U185" s="15" t="s">
        <v>7</v>
      </c>
      <c r="V185" s="15" t="s">
        <v>1010</v>
      </c>
      <c r="W185" s="13" t="s">
        <v>102</v>
      </c>
      <c r="X185" s="13" t="s">
        <v>31</v>
      </c>
    </row>
    <row r="186" customHeight="1" spans="1:24">
      <c r="A186" s="15" t="s">
        <v>1011</v>
      </c>
      <c r="B186" s="15" t="s">
        <v>37</v>
      </c>
      <c r="C186" s="15" t="s">
        <v>221</v>
      </c>
      <c r="D186" s="15" t="s">
        <v>222</v>
      </c>
      <c r="E186" s="15" t="s">
        <v>89</v>
      </c>
      <c r="F186" s="15" t="s">
        <v>89</v>
      </c>
      <c r="G186" s="15" t="s">
        <v>120</v>
      </c>
      <c r="H186" s="15" t="s">
        <v>91</v>
      </c>
      <c r="I186" s="15" t="s">
        <v>92</v>
      </c>
      <c r="J186" s="15" t="s">
        <v>144</v>
      </c>
      <c r="K186" s="16" t="s">
        <v>347</v>
      </c>
      <c r="L186" s="16" t="s">
        <v>1012</v>
      </c>
      <c r="M186" s="16" t="s">
        <v>1013</v>
      </c>
      <c r="N186" s="15" t="s">
        <v>1014</v>
      </c>
      <c r="O186" s="15" t="s">
        <v>98</v>
      </c>
      <c r="P186" s="15" t="s">
        <v>351</v>
      </c>
      <c r="Q186" s="15"/>
      <c r="R186" s="15" t="s">
        <v>127</v>
      </c>
      <c r="S186" s="15" t="s">
        <v>114</v>
      </c>
      <c r="T186" s="15" t="s">
        <v>114</v>
      </c>
      <c r="U186" s="15" t="s">
        <v>7</v>
      </c>
      <c r="V186" s="15" t="s">
        <v>1015</v>
      </c>
      <c r="W186" s="13" t="s">
        <v>102</v>
      </c>
      <c r="X186" s="13" t="s">
        <v>31</v>
      </c>
    </row>
    <row r="187" customHeight="1" spans="1:24">
      <c r="A187" s="15" t="s">
        <v>1016</v>
      </c>
      <c r="B187" s="15" t="s">
        <v>37</v>
      </c>
      <c r="C187" s="15" t="s">
        <v>221</v>
      </c>
      <c r="D187" s="15" t="s">
        <v>222</v>
      </c>
      <c r="E187" s="15" t="s">
        <v>89</v>
      </c>
      <c r="F187" s="15" t="s">
        <v>89</v>
      </c>
      <c r="G187" s="15" t="s">
        <v>120</v>
      </c>
      <c r="H187" s="15" t="s">
        <v>91</v>
      </c>
      <c r="I187" s="15" t="s">
        <v>92</v>
      </c>
      <c r="J187" s="15" t="s">
        <v>144</v>
      </c>
      <c r="K187" s="16" t="s">
        <v>347</v>
      </c>
      <c r="L187" s="16" t="s">
        <v>1017</v>
      </c>
      <c r="M187" s="16" t="s">
        <v>1018</v>
      </c>
      <c r="N187" s="15" t="s">
        <v>1014</v>
      </c>
      <c r="O187" s="15" t="s">
        <v>98</v>
      </c>
      <c r="P187" s="15" t="s">
        <v>351</v>
      </c>
      <c r="Q187" s="15"/>
      <c r="R187" s="15" t="s">
        <v>127</v>
      </c>
      <c r="S187" s="15" t="s">
        <v>114</v>
      </c>
      <c r="T187" s="15" t="s">
        <v>114</v>
      </c>
      <c r="U187" s="15" t="s">
        <v>7</v>
      </c>
      <c r="V187" s="15" t="s">
        <v>1019</v>
      </c>
      <c r="W187" s="13" t="s">
        <v>102</v>
      </c>
      <c r="X187" s="13" t="s">
        <v>31</v>
      </c>
    </row>
    <row r="188" customHeight="1" spans="1:24">
      <c r="A188" s="15" t="s">
        <v>1020</v>
      </c>
      <c r="B188" s="15" t="s">
        <v>37</v>
      </c>
      <c r="C188" s="15" t="s">
        <v>221</v>
      </c>
      <c r="D188" s="15" t="s">
        <v>222</v>
      </c>
      <c r="E188" s="15" t="s">
        <v>89</v>
      </c>
      <c r="F188" s="15" t="s">
        <v>89</v>
      </c>
      <c r="G188" s="15" t="s">
        <v>120</v>
      </c>
      <c r="H188" s="15" t="s">
        <v>91</v>
      </c>
      <c r="I188" s="15" t="s">
        <v>92</v>
      </c>
      <c r="J188" s="15" t="s">
        <v>144</v>
      </c>
      <c r="K188" s="16" t="s">
        <v>347</v>
      </c>
      <c r="L188" s="16" t="s">
        <v>1021</v>
      </c>
      <c r="M188" s="16" t="s">
        <v>1022</v>
      </c>
      <c r="N188" s="15" t="s">
        <v>1014</v>
      </c>
      <c r="O188" s="15" t="s">
        <v>98</v>
      </c>
      <c r="P188" s="15" t="s">
        <v>351</v>
      </c>
      <c r="Q188" s="15"/>
      <c r="R188" s="15" t="s">
        <v>127</v>
      </c>
      <c r="S188" s="15" t="s">
        <v>114</v>
      </c>
      <c r="T188" s="15" t="s">
        <v>114</v>
      </c>
      <c r="U188" s="15" t="s">
        <v>7</v>
      </c>
      <c r="V188" s="15" t="s">
        <v>1023</v>
      </c>
      <c r="W188" s="13" t="s">
        <v>102</v>
      </c>
      <c r="X188" s="13" t="s">
        <v>31</v>
      </c>
    </row>
    <row r="189" customHeight="1" spans="1:24">
      <c r="A189" s="15" t="s">
        <v>1024</v>
      </c>
      <c r="B189" s="15" t="s">
        <v>37</v>
      </c>
      <c r="C189" s="15" t="s">
        <v>221</v>
      </c>
      <c r="D189" s="15" t="s">
        <v>222</v>
      </c>
      <c r="E189" s="15" t="s">
        <v>89</v>
      </c>
      <c r="F189" s="15" t="s">
        <v>89</v>
      </c>
      <c r="G189" s="15" t="s">
        <v>120</v>
      </c>
      <c r="H189" s="15" t="s">
        <v>91</v>
      </c>
      <c r="I189" s="15" t="s">
        <v>92</v>
      </c>
      <c r="J189" s="15" t="s">
        <v>144</v>
      </c>
      <c r="K189" s="16" t="s">
        <v>347</v>
      </c>
      <c r="L189" s="16" t="s">
        <v>1025</v>
      </c>
      <c r="M189" s="16" t="s">
        <v>1026</v>
      </c>
      <c r="N189" s="15" t="s">
        <v>1014</v>
      </c>
      <c r="O189" s="15" t="s">
        <v>98</v>
      </c>
      <c r="P189" s="15" t="s">
        <v>351</v>
      </c>
      <c r="Q189" s="15"/>
      <c r="R189" s="15" t="s">
        <v>127</v>
      </c>
      <c r="S189" s="15" t="s">
        <v>114</v>
      </c>
      <c r="T189" s="15" t="s">
        <v>114</v>
      </c>
      <c r="U189" s="15" t="s">
        <v>7</v>
      </c>
      <c r="V189" s="15" t="s">
        <v>1027</v>
      </c>
      <c r="W189" s="13" t="s">
        <v>102</v>
      </c>
      <c r="X189" s="13" t="s">
        <v>31</v>
      </c>
    </row>
    <row r="190" customHeight="1" spans="1:24">
      <c r="A190" s="15" t="s">
        <v>1028</v>
      </c>
      <c r="B190" s="15" t="s">
        <v>37</v>
      </c>
      <c r="C190" s="15" t="s">
        <v>221</v>
      </c>
      <c r="D190" s="15" t="s">
        <v>222</v>
      </c>
      <c r="E190" s="15" t="s">
        <v>89</v>
      </c>
      <c r="F190" s="15" t="s">
        <v>89</v>
      </c>
      <c r="G190" s="15" t="s">
        <v>120</v>
      </c>
      <c r="H190" s="15" t="s">
        <v>91</v>
      </c>
      <c r="I190" s="15" t="s">
        <v>92</v>
      </c>
      <c r="J190" s="15" t="s">
        <v>144</v>
      </c>
      <c r="K190" s="16" t="s">
        <v>347</v>
      </c>
      <c r="L190" s="16" t="s">
        <v>1029</v>
      </c>
      <c r="M190" s="16" t="s">
        <v>1030</v>
      </c>
      <c r="N190" s="15" t="s">
        <v>1014</v>
      </c>
      <c r="O190" s="15" t="s">
        <v>98</v>
      </c>
      <c r="P190" s="15" t="s">
        <v>351</v>
      </c>
      <c r="Q190" s="15"/>
      <c r="R190" s="15" t="s">
        <v>127</v>
      </c>
      <c r="S190" s="15" t="s">
        <v>114</v>
      </c>
      <c r="T190" s="15" t="s">
        <v>114</v>
      </c>
      <c r="U190" s="15" t="s">
        <v>7</v>
      </c>
      <c r="V190" s="15" t="s">
        <v>1031</v>
      </c>
      <c r="W190" s="13" t="s">
        <v>102</v>
      </c>
      <c r="X190" s="13" t="s">
        <v>31</v>
      </c>
    </row>
    <row r="191" customHeight="1" spans="1:24">
      <c r="A191" s="15" t="s">
        <v>1032</v>
      </c>
      <c r="B191" s="15" t="s">
        <v>37</v>
      </c>
      <c r="C191" s="15" t="s">
        <v>221</v>
      </c>
      <c r="D191" s="15" t="s">
        <v>222</v>
      </c>
      <c r="E191" s="15" t="s">
        <v>89</v>
      </c>
      <c r="F191" s="15" t="s">
        <v>89</v>
      </c>
      <c r="G191" s="15" t="s">
        <v>120</v>
      </c>
      <c r="H191" s="15" t="s">
        <v>91</v>
      </c>
      <c r="I191" s="15" t="s">
        <v>92</v>
      </c>
      <c r="J191" s="15" t="s">
        <v>144</v>
      </c>
      <c r="K191" s="16" t="s">
        <v>347</v>
      </c>
      <c r="L191" s="16" t="s">
        <v>1033</v>
      </c>
      <c r="M191" s="16" t="s">
        <v>1034</v>
      </c>
      <c r="N191" s="15" t="s">
        <v>1014</v>
      </c>
      <c r="O191" s="15" t="s">
        <v>98</v>
      </c>
      <c r="P191" s="15" t="s">
        <v>351</v>
      </c>
      <c r="Q191" s="15"/>
      <c r="R191" s="15" t="s">
        <v>127</v>
      </c>
      <c r="S191" s="15" t="s">
        <v>114</v>
      </c>
      <c r="T191" s="15" t="s">
        <v>114</v>
      </c>
      <c r="U191" s="15" t="s">
        <v>7</v>
      </c>
      <c r="V191" s="15" t="s">
        <v>1035</v>
      </c>
      <c r="W191" s="13" t="s">
        <v>102</v>
      </c>
      <c r="X191" s="13" t="s">
        <v>31</v>
      </c>
    </row>
    <row r="192" customHeight="1" spans="1:24">
      <c r="A192" s="15" t="s">
        <v>1036</v>
      </c>
      <c r="B192" s="15" t="s">
        <v>42</v>
      </c>
      <c r="C192" s="15" t="s">
        <v>221</v>
      </c>
      <c r="D192" s="15" t="s">
        <v>222</v>
      </c>
      <c r="E192" s="15" t="s">
        <v>89</v>
      </c>
      <c r="F192" s="15" t="s">
        <v>89</v>
      </c>
      <c r="G192" s="15" t="s">
        <v>120</v>
      </c>
      <c r="H192" s="15" t="s">
        <v>91</v>
      </c>
      <c r="I192" s="15" t="s">
        <v>92</v>
      </c>
      <c r="J192" s="15" t="s">
        <v>144</v>
      </c>
      <c r="K192" s="16" t="s">
        <v>347</v>
      </c>
      <c r="L192" s="16" t="s">
        <v>1037</v>
      </c>
      <c r="M192" s="16" t="s">
        <v>1038</v>
      </c>
      <c r="N192" s="15" t="s">
        <v>1039</v>
      </c>
      <c r="O192" s="15" t="s">
        <v>98</v>
      </c>
      <c r="P192" s="15" t="s">
        <v>351</v>
      </c>
      <c r="Q192" s="15"/>
      <c r="R192" s="15" t="s">
        <v>127</v>
      </c>
      <c r="S192" s="15" t="s">
        <v>114</v>
      </c>
      <c r="T192" s="15" t="s">
        <v>114</v>
      </c>
      <c r="U192" s="15" t="s">
        <v>7</v>
      </c>
      <c r="V192" s="15" t="s">
        <v>1040</v>
      </c>
      <c r="W192" s="13" t="s">
        <v>102</v>
      </c>
      <c r="X192" s="13" t="s">
        <v>31</v>
      </c>
    </row>
    <row r="193" customHeight="1" spans="1:24">
      <c r="A193" s="15" t="s">
        <v>1041</v>
      </c>
      <c r="B193" s="15" t="s">
        <v>42</v>
      </c>
      <c r="C193" s="15" t="s">
        <v>221</v>
      </c>
      <c r="D193" s="15" t="s">
        <v>222</v>
      </c>
      <c r="E193" s="15" t="s">
        <v>89</v>
      </c>
      <c r="F193" s="15" t="s">
        <v>89</v>
      </c>
      <c r="G193" s="15" t="s">
        <v>120</v>
      </c>
      <c r="H193" s="15" t="s">
        <v>91</v>
      </c>
      <c r="I193" s="15" t="s">
        <v>92</v>
      </c>
      <c r="J193" s="15" t="s">
        <v>144</v>
      </c>
      <c r="K193" s="16" t="s">
        <v>347</v>
      </c>
      <c r="L193" s="16" t="s">
        <v>1042</v>
      </c>
      <c r="M193" s="16" t="s">
        <v>1043</v>
      </c>
      <c r="N193" s="15" t="s">
        <v>1039</v>
      </c>
      <c r="O193" s="15" t="s">
        <v>98</v>
      </c>
      <c r="P193" s="15" t="s">
        <v>351</v>
      </c>
      <c r="Q193" s="15"/>
      <c r="R193" s="15" t="s">
        <v>127</v>
      </c>
      <c r="S193" s="15" t="s">
        <v>114</v>
      </c>
      <c r="T193" s="15" t="s">
        <v>114</v>
      </c>
      <c r="U193" s="15" t="s">
        <v>7</v>
      </c>
      <c r="V193" s="15" t="s">
        <v>1044</v>
      </c>
      <c r="W193" s="13" t="s">
        <v>102</v>
      </c>
      <c r="X193" s="13" t="s">
        <v>31</v>
      </c>
    </row>
    <row r="194" customHeight="1" spans="1:24">
      <c r="A194" s="15" t="s">
        <v>1045</v>
      </c>
      <c r="B194" s="15" t="s">
        <v>42</v>
      </c>
      <c r="C194" s="15" t="s">
        <v>221</v>
      </c>
      <c r="D194" s="15" t="s">
        <v>222</v>
      </c>
      <c r="E194" s="15" t="s">
        <v>89</v>
      </c>
      <c r="F194" s="15" t="s">
        <v>89</v>
      </c>
      <c r="G194" s="15" t="s">
        <v>120</v>
      </c>
      <c r="H194" s="15" t="s">
        <v>91</v>
      </c>
      <c r="I194" s="15" t="s">
        <v>92</v>
      </c>
      <c r="J194" s="15" t="s">
        <v>144</v>
      </c>
      <c r="K194" s="16" t="s">
        <v>347</v>
      </c>
      <c r="L194" s="16" t="s">
        <v>1046</v>
      </c>
      <c r="M194" s="16" t="s">
        <v>1047</v>
      </c>
      <c r="N194" s="15" t="s">
        <v>1039</v>
      </c>
      <c r="O194" s="15" t="s">
        <v>98</v>
      </c>
      <c r="P194" s="15" t="s">
        <v>351</v>
      </c>
      <c r="Q194" s="15"/>
      <c r="R194" s="15" t="s">
        <v>127</v>
      </c>
      <c r="S194" s="15" t="s">
        <v>114</v>
      </c>
      <c r="T194" s="15" t="s">
        <v>114</v>
      </c>
      <c r="U194" s="15" t="s">
        <v>7</v>
      </c>
      <c r="V194" s="15" t="s">
        <v>1048</v>
      </c>
      <c r="W194" s="13" t="s">
        <v>102</v>
      </c>
      <c r="X194" s="13" t="s">
        <v>31</v>
      </c>
    </row>
    <row r="195" customHeight="1" spans="1:24">
      <c r="A195" s="15" t="s">
        <v>1049</v>
      </c>
      <c r="B195" s="15" t="s">
        <v>42</v>
      </c>
      <c r="C195" s="15" t="s">
        <v>221</v>
      </c>
      <c r="D195" s="15" t="s">
        <v>222</v>
      </c>
      <c r="E195" s="15" t="s">
        <v>89</v>
      </c>
      <c r="F195" s="15" t="s">
        <v>89</v>
      </c>
      <c r="G195" s="15" t="s">
        <v>120</v>
      </c>
      <c r="H195" s="15" t="s">
        <v>91</v>
      </c>
      <c r="I195" s="15" t="s">
        <v>92</v>
      </c>
      <c r="J195" s="15" t="s">
        <v>144</v>
      </c>
      <c r="K195" s="16" t="s">
        <v>347</v>
      </c>
      <c r="L195" s="16" t="s">
        <v>1050</v>
      </c>
      <c r="M195" s="16" t="s">
        <v>1051</v>
      </c>
      <c r="N195" s="15" t="s">
        <v>1039</v>
      </c>
      <c r="O195" s="15" t="s">
        <v>98</v>
      </c>
      <c r="P195" s="15" t="s">
        <v>351</v>
      </c>
      <c r="Q195" s="15"/>
      <c r="R195" s="15" t="s">
        <v>127</v>
      </c>
      <c r="S195" s="15" t="s">
        <v>114</v>
      </c>
      <c r="T195" s="15" t="s">
        <v>114</v>
      </c>
      <c r="U195" s="15" t="s">
        <v>7</v>
      </c>
      <c r="V195" s="15" t="s">
        <v>1052</v>
      </c>
      <c r="W195" s="13" t="s">
        <v>102</v>
      </c>
      <c r="X195" s="13" t="s">
        <v>31</v>
      </c>
    </row>
    <row r="196" customHeight="1" spans="1:24">
      <c r="A196" s="15" t="s">
        <v>1053</v>
      </c>
      <c r="B196" s="15" t="s">
        <v>42</v>
      </c>
      <c r="C196" s="15" t="s">
        <v>221</v>
      </c>
      <c r="D196" s="15" t="s">
        <v>222</v>
      </c>
      <c r="E196" s="15" t="s">
        <v>89</v>
      </c>
      <c r="F196" s="15" t="s">
        <v>89</v>
      </c>
      <c r="G196" s="15" t="s">
        <v>120</v>
      </c>
      <c r="H196" s="15" t="s">
        <v>91</v>
      </c>
      <c r="I196" s="15" t="s">
        <v>92</v>
      </c>
      <c r="J196" s="15" t="s">
        <v>144</v>
      </c>
      <c r="K196" s="16" t="s">
        <v>347</v>
      </c>
      <c r="L196" s="16" t="s">
        <v>1054</v>
      </c>
      <c r="M196" s="16" t="s">
        <v>1055</v>
      </c>
      <c r="N196" s="15" t="s">
        <v>1039</v>
      </c>
      <c r="O196" s="15" t="s">
        <v>98</v>
      </c>
      <c r="P196" s="15" t="s">
        <v>351</v>
      </c>
      <c r="Q196" s="15"/>
      <c r="R196" s="15" t="s">
        <v>127</v>
      </c>
      <c r="S196" s="15" t="s">
        <v>114</v>
      </c>
      <c r="T196" s="15" t="s">
        <v>114</v>
      </c>
      <c r="U196" s="15" t="s">
        <v>7</v>
      </c>
      <c r="V196" s="15" t="s">
        <v>1056</v>
      </c>
      <c r="W196" s="13" t="s">
        <v>102</v>
      </c>
      <c r="X196" s="13" t="s">
        <v>31</v>
      </c>
    </row>
    <row r="197" customHeight="1" spans="1:24">
      <c r="A197" s="15" t="s">
        <v>1057</v>
      </c>
      <c r="B197" s="15" t="s">
        <v>42</v>
      </c>
      <c r="C197" s="15" t="s">
        <v>221</v>
      </c>
      <c r="D197" s="15" t="s">
        <v>222</v>
      </c>
      <c r="E197" s="15" t="s">
        <v>89</v>
      </c>
      <c r="F197" s="15" t="s">
        <v>89</v>
      </c>
      <c r="G197" s="15" t="s">
        <v>120</v>
      </c>
      <c r="H197" s="15" t="s">
        <v>91</v>
      </c>
      <c r="I197" s="15" t="s">
        <v>92</v>
      </c>
      <c r="J197" s="15" t="s">
        <v>144</v>
      </c>
      <c r="K197" s="16" t="s">
        <v>347</v>
      </c>
      <c r="L197" s="16" t="s">
        <v>1058</v>
      </c>
      <c r="M197" s="16" t="s">
        <v>1059</v>
      </c>
      <c r="N197" s="15" t="s">
        <v>1039</v>
      </c>
      <c r="O197" s="15" t="s">
        <v>98</v>
      </c>
      <c r="P197" s="15" t="s">
        <v>351</v>
      </c>
      <c r="Q197" s="15"/>
      <c r="R197" s="15" t="s">
        <v>127</v>
      </c>
      <c r="S197" s="15" t="s">
        <v>114</v>
      </c>
      <c r="T197" s="15" t="s">
        <v>114</v>
      </c>
      <c r="U197" s="15" t="s">
        <v>7</v>
      </c>
      <c r="V197" s="15" t="s">
        <v>1060</v>
      </c>
      <c r="W197" s="13" t="s">
        <v>102</v>
      </c>
      <c r="X197" s="13" t="s">
        <v>31</v>
      </c>
    </row>
    <row r="198" customHeight="1" spans="1:24">
      <c r="A198" s="15" t="s">
        <v>1061</v>
      </c>
      <c r="B198" s="15" t="s">
        <v>35</v>
      </c>
      <c r="C198" s="15" t="s">
        <v>221</v>
      </c>
      <c r="D198" s="15" t="s">
        <v>222</v>
      </c>
      <c r="E198" s="15" t="s">
        <v>89</v>
      </c>
      <c r="F198" s="15" t="s">
        <v>89</v>
      </c>
      <c r="G198" s="15" t="s">
        <v>120</v>
      </c>
      <c r="H198" s="15" t="s">
        <v>91</v>
      </c>
      <c r="I198" s="15" t="s">
        <v>92</v>
      </c>
      <c r="J198" s="15" t="s">
        <v>144</v>
      </c>
      <c r="K198" s="16" t="s">
        <v>347</v>
      </c>
      <c r="L198" s="16" t="s">
        <v>1062</v>
      </c>
      <c r="M198" s="16" t="s">
        <v>1063</v>
      </c>
      <c r="N198" s="15" t="s">
        <v>1064</v>
      </c>
      <c r="O198" s="15" t="s">
        <v>98</v>
      </c>
      <c r="P198" s="15" t="s">
        <v>351</v>
      </c>
      <c r="Q198" s="15"/>
      <c r="R198" s="15" t="s">
        <v>127</v>
      </c>
      <c r="S198" s="15" t="s">
        <v>114</v>
      </c>
      <c r="T198" s="15" t="s">
        <v>114</v>
      </c>
      <c r="U198" s="15" t="s">
        <v>7</v>
      </c>
      <c r="V198" s="15" t="s">
        <v>1065</v>
      </c>
      <c r="W198" s="13" t="s">
        <v>102</v>
      </c>
      <c r="X198" s="13" t="s">
        <v>31</v>
      </c>
    </row>
    <row r="199" customHeight="1" spans="1:24">
      <c r="A199" s="15" t="s">
        <v>1066</v>
      </c>
      <c r="B199" s="15" t="s">
        <v>35</v>
      </c>
      <c r="C199" s="15" t="s">
        <v>221</v>
      </c>
      <c r="D199" s="15" t="s">
        <v>222</v>
      </c>
      <c r="E199" s="15" t="s">
        <v>89</v>
      </c>
      <c r="F199" s="15" t="s">
        <v>89</v>
      </c>
      <c r="G199" s="15" t="s">
        <v>120</v>
      </c>
      <c r="H199" s="15" t="s">
        <v>91</v>
      </c>
      <c r="I199" s="15" t="s">
        <v>92</v>
      </c>
      <c r="J199" s="15" t="s">
        <v>144</v>
      </c>
      <c r="K199" s="16" t="s">
        <v>347</v>
      </c>
      <c r="L199" s="16" t="s">
        <v>1067</v>
      </c>
      <c r="M199" s="16" t="s">
        <v>1068</v>
      </c>
      <c r="N199" s="15" t="s">
        <v>1064</v>
      </c>
      <c r="O199" s="15" t="s">
        <v>98</v>
      </c>
      <c r="P199" s="15" t="s">
        <v>351</v>
      </c>
      <c r="Q199" s="15"/>
      <c r="R199" s="15" t="s">
        <v>127</v>
      </c>
      <c r="S199" s="15" t="s">
        <v>114</v>
      </c>
      <c r="T199" s="15" t="s">
        <v>114</v>
      </c>
      <c r="U199" s="15" t="s">
        <v>7</v>
      </c>
      <c r="V199" s="15" t="s">
        <v>1069</v>
      </c>
      <c r="W199" s="13" t="s">
        <v>102</v>
      </c>
      <c r="X199" s="13" t="s">
        <v>31</v>
      </c>
    </row>
    <row r="200" customHeight="1" spans="1:24">
      <c r="A200" s="15" t="s">
        <v>1070</v>
      </c>
      <c r="B200" s="15" t="s">
        <v>35</v>
      </c>
      <c r="C200" s="15" t="s">
        <v>221</v>
      </c>
      <c r="D200" s="15" t="s">
        <v>222</v>
      </c>
      <c r="E200" s="15" t="s">
        <v>89</v>
      </c>
      <c r="F200" s="15" t="s">
        <v>89</v>
      </c>
      <c r="G200" s="15" t="s">
        <v>120</v>
      </c>
      <c r="H200" s="15" t="s">
        <v>91</v>
      </c>
      <c r="I200" s="15" t="s">
        <v>92</v>
      </c>
      <c r="J200" s="15" t="s">
        <v>144</v>
      </c>
      <c r="K200" s="16" t="s">
        <v>347</v>
      </c>
      <c r="L200" s="16" t="s">
        <v>1071</v>
      </c>
      <c r="M200" s="16" t="s">
        <v>1072</v>
      </c>
      <c r="N200" s="15" t="s">
        <v>1064</v>
      </c>
      <c r="O200" s="15" t="s">
        <v>98</v>
      </c>
      <c r="P200" s="15" t="s">
        <v>351</v>
      </c>
      <c r="Q200" s="15"/>
      <c r="R200" s="15" t="s">
        <v>127</v>
      </c>
      <c r="S200" s="15" t="s">
        <v>114</v>
      </c>
      <c r="T200" s="15" t="s">
        <v>114</v>
      </c>
      <c r="U200" s="15" t="s">
        <v>7</v>
      </c>
      <c r="V200" s="15" t="s">
        <v>1073</v>
      </c>
      <c r="W200" s="13" t="s">
        <v>102</v>
      </c>
      <c r="X200" s="13" t="s">
        <v>31</v>
      </c>
    </row>
    <row r="201" customHeight="1" spans="1:24">
      <c r="A201" s="15" t="s">
        <v>1074</v>
      </c>
      <c r="B201" s="15" t="s">
        <v>35</v>
      </c>
      <c r="C201" s="15" t="s">
        <v>221</v>
      </c>
      <c r="D201" s="15" t="s">
        <v>222</v>
      </c>
      <c r="E201" s="15" t="s">
        <v>89</v>
      </c>
      <c r="F201" s="15" t="s">
        <v>89</v>
      </c>
      <c r="G201" s="15" t="s">
        <v>120</v>
      </c>
      <c r="H201" s="15" t="s">
        <v>91</v>
      </c>
      <c r="I201" s="15" t="s">
        <v>92</v>
      </c>
      <c r="J201" s="15" t="s">
        <v>144</v>
      </c>
      <c r="K201" s="16" t="s">
        <v>347</v>
      </c>
      <c r="L201" s="16" t="s">
        <v>1075</v>
      </c>
      <c r="M201" s="16" t="s">
        <v>1076</v>
      </c>
      <c r="N201" s="15" t="s">
        <v>1064</v>
      </c>
      <c r="O201" s="15" t="s">
        <v>98</v>
      </c>
      <c r="P201" s="15" t="s">
        <v>351</v>
      </c>
      <c r="Q201" s="15"/>
      <c r="R201" s="15" t="s">
        <v>127</v>
      </c>
      <c r="S201" s="15" t="s">
        <v>114</v>
      </c>
      <c r="T201" s="15" t="s">
        <v>114</v>
      </c>
      <c r="U201" s="15" t="s">
        <v>7</v>
      </c>
      <c r="V201" s="15" t="s">
        <v>1077</v>
      </c>
      <c r="W201" s="13" t="s">
        <v>102</v>
      </c>
      <c r="X201" s="13" t="s">
        <v>31</v>
      </c>
    </row>
    <row r="202" customHeight="1" spans="1:24">
      <c r="A202" s="15" t="s">
        <v>1078</v>
      </c>
      <c r="B202" s="15" t="s">
        <v>35</v>
      </c>
      <c r="C202" s="15" t="s">
        <v>221</v>
      </c>
      <c r="D202" s="15" t="s">
        <v>222</v>
      </c>
      <c r="E202" s="15" t="s">
        <v>89</v>
      </c>
      <c r="F202" s="15" t="s">
        <v>89</v>
      </c>
      <c r="G202" s="15" t="s">
        <v>120</v>
      </c>
      <c r="H202" s="15" t="s">
        <v>91</v>
      </c>
      <c r="I202" s="15" t="s">
        <v>92</v>
      </c>
      <c r="J202" s="15" t="s">
        <v>144</v>
      </c>
      <c r="K202" s="16" t="s">
        <v>347</v>
      </c>
      <c r="L202" s="16" t="s">
        <v>1079</v>
      </c>
      <c r="M202" s="16" t="s">
        <v>1080</v>
      </c>
      <c r="N202" s="15" t="s">
        <v>1064</v>
      </c>
      <c r="O202" s="15" t="s">
        <v>98</v>
      </c>
      <c r="P202" s="15" t="s">
        <v>351</v>
      </c>
      <c r="Q202" s="15"/>
      <c r="R202" s="15" t="s">
        <v>127</v>
      </c>
      <c r="S202" s="15" t="s">
        <v>114</v>
      </c>
      <c r="T202" s="15" t="s">
        <v>114</v>
      </c>
      <c r="U202" s="15" t="s">
        <v>7</v>
      </c>
      <c r="V202" s="15" t="s">
        <v>1081</v>
      </c>
      <c r="W202" s="13" t="s">
        <v>102</v>
      </c>
      <c r="X202" s="13" t="s">
        <v>31</v>
      </c>
    </row>
    <row r="203" customHeight="1" spans="1:24">
      <c r="A203" s="15" t="s">
        <v>1082</v>
      </c>
      <c r="B203" s="15" t="s">
        <v>35</v>
      </c>
      <c r="C203" s="15" t="s">
        <v>221</v>
      </c>
      <c r="D203" s="15" t="s">
        <v>222</v>
      </c>
      <c r="E203" s="15" t="s">
        <v>89</v>
      </c>
      <c r="F203" s="15" t="s">
        <v>89</v>
      </c>
      <c r="G203" s="15" t="s">
        <v>120</v>
      </c>
      <c r="H203" s="15" t="s">
        <v>91</v>
      </c>
      <c r="I203" s="15" t="s">
        <v>92</v>
      </c>
      <c r="J203" s="15" t="s">
        <v>144</v>
      </c>
      <c r="K203" s="16" t="s">
        <v>347</v>
      </c>
      <c r="L203" s="16" t="s">
        <v>1083</v>
      </c>
      <c r="M203" s="16" t="s">
        <v>1084</v>
      </c>
      <c r="N203" s="15" t="s">
        <v>1064</v>
      </c>
      <c r="O203" s="15" t="s">
        <v>98</v>
      </c>
      <c r="P203" s="15" t="s">
        <v>351</v>
      </c>
      <c r="Q203" s="15"/>
      <c r="R203" s="15" t="s">
        <v>127</v>
      </c>
      <c r="S203" s="15" t="s">
        <v>114</v>
      </c>
      <c r="T203" s="15" t="s">
        <v>114</v>
      </c>
      <c r="U203" s="15" t="s">
        <v>7</v>
      </c>
      <c r="V203" s="15" t="s">
        <v>1085</v>
      </c>
      <c r="W203" s="13" t="s">
        <v>102</v>
      </c>
      <c r="X203" s="13" t="s">
        <v>31</v>
      </c>
    </row>
    <row r="204" customHeight="1" spans="1:24">
      <c r="A204" s="15" t="s">
        <v>1086</v>
      </c>
      <c r="B204" s="15" t="s">
        <v>53</v>
      </c>
      <c r="C204" s="15" t="s">
        <v>221</v>
      </c>
      <c r="D204" s="15" t="s">
        <v>222</v>
      </c>
      <c r="E204" s="15" t="s">
        <v>89</v>
      </c>
      <c r="F204" s="15" t="s">
        <v>89</v>
      </c>
      <c r="G204" s="15" t="s">
        <v>120</v>
      </c>
      <c r="H204" s="15" t="s">
        <v>91</v>
      </c>
      <c r="I204" s="15" t="s">
        <v>92</v>
      </c>
      <c r="J204" s="15" t="s">
        <v>155</v>
      </c>
      <c r="K204" s="16" t="s">
        <v>156</v>
      </c>
      <c r="L204" s="16" t="s">
        <v>1087</v>
      </c>
      <c r="M204" s="16" t="s">
        <v>1088</v>
      </c>
      <c r="N204" s="15" t="s">
        <v>1089</v>
      </c>
      <c r="O204" s="15" t="s">
        <v>98</v>
      </c>
      <c r="P204" s="15" t="s">
        <v>1090</v>
      </c>
      <c r="Q204" s="15"/>
      <c r="R204" s="15" t="s">
        <v>127</v>
      </c>
      <c r="S204" s="15" t="str">
        <f>HYPERLINK("http://shopweb.tjgdyf.com:8090/snapshot/G_62/D_1347/p_19134/20200917172027.jpg","查看图片")</f>
        <v>查看图片</v>
      </c>
      <c r="T204" s="15" t="s">
        <v>114</v>
      </c>
      <c r="U204" s="15" t="s">
        <v>7</v>
      </c>
      <c r="V204" s="15" t="s">
        <v>1091</v>
      </c>
      <c r="W204" s="13" t="s">
        <v>102</v>
      </c>
      <c r="X204" s="13" t="s">
        <v>50</v>
      </c>
    </row>
    <row r="205" customHeight="1" spans="1:24">
      <c r="A205" s="15" t="s">
        <v>1092</v>
      </c>
      <c r="B205" s="15" t="s">
        <v>57</v>
      </c>
      <c r="C205" s="15" t="s">
        <v>221</v>
      </c>
      <c r="D205" s="15" t="s">
        <v>222</v>
      </c>
      <c r="E205" s="15" t="s">
        <v>89</v>
      </c>
      <c r="F205" s="15" t="s">
        <v>89</v>
      </c>
      <c r="G205" s="15" t="s">
        <v>120</v>
      </c>
      <c r="H205" s="15" t="s">
        <v>91</v>
      </c>
      <c r="I205" s="15" t="s">
        <v>92</v>
      </c>
      <c r="J205" s="15" t="s">
        <v>155</v>
      </c>
      <c r="K205" s="16" t="s">
        <v>156</v>
      </c>
      <c r="L205" s="16" t="s">
        <v>1093</v>
      </c>
      <c r="M205" s="16" t="s">
        <v>1094</v>
      </c>
      <c r="N205" s="15" t="s">
        <v>1095</v>
      </c>
      <c r="O205" s="15" t="s">
        <v>98</v>
      </c>
      <c r="P205" s="15" t="s">
        <v>1090</v>
      </c>
      <c r="Q205" s="15"/>
      <c r="R205" s="15" t="s">
        <v>127</v>
      </c>
      <c r="S205" s="15" t="s">
        <v>114</v>
      </c>
      <c r="T205" s="15" t="str">
        <f>HYPERLINK("http://ovopark.oss-cn-hangzhou.aliyuncs.com/1994_443143453029075_image_1600503503957.jpg","查看图片")</f>
        <v>查看图片</v>
      </c>
      <c r="U205" s="15" t="s">
        <v>7</v>
      </c>
      <c r="V205" s="15" t="s">
        <v>1096</v>
      </c>
      <c r="W205" s="13" t="s">
        <v>102</v>
      </c>
      <c r="X205" s="13" t="s">
        <v>50</v>
      </c>
    </row>
    <row r="206" customHeight="1" spans="1:24">
      <c r="A206" s="15" t="s">
        <v>1097</v>
      </c>
      <c r="B206" s="15" t="s">
        <v>57</v>
      </c>
      <c r="C206" s="15" t="s">
        <v>221</v>
      </c>
      <c r="D206" s="15" t="s">
        <v>222</v>
      </c>
      <c r="E206" s="15" t="s">
        <v>89</v>
      </c>
      <c r="F206" s="15" t="s">
        <v>89</v>
      </c>
      <c r="G206" s="15" t="s">
        <v>120</v>
      </c>
      <c r="H206" s="15" t="s">
        <v>91</v>
      </c>
      <c r="I206" s="15" t="s">
        <v>92</v>
      </c>
      <c r="J206" s="15" t="s">
        <v>155</v>
      </c>
      <c r="K206" s="16" t="s">
        <v>156</v>
      </c>
      <c r="L206" s="16" t="s">
        <v>1098</v>
      </c>
      <c r="M206" s="16" t="s">
        <v>1099</v>
      </c>
      <c r="N206" s="15" t="s">
        <v>1095</v>
      </c>
      <c r="O206" s="15" t="s">
        <v>98</v>
      </c>
      <c r="P206" s="15" t="s">
        <v>1090</v>
      </c>
      <c r="Q206" s="15"/>
      <c r="R206" s="15" t="s">
        <v>127</v>
      </c>
      <c r="S206" s="15" t="s">
        <v>114</v>
      </c>
      <c r="T206" s="15" t="str">
        <f>HYPERLINK("http://ovopark.oss-cn-hangzhou.aliyuncs.com/1994_443169548135842_image_1600503532920.jpg","查看图片")</f>
        <v>查看图片</v>
      </c>
      <c r="U206" s="15" t="s">
        <v>7</v>
      </c>
      <c r="V206" s="15" t="s">
        <v>1100</v>
      </c>
      <c r="W206" s="13" t="s">
        <v>102</v>
      </c>
      <c r="X206" s="13" t="s">
        <v>50</v>
      </c>
    </row>
    <row r="207" customHeight="1" spans="1:24">
      <c r="A207" s="15" t="s">
        <v>1101</v>
      </c>
      <c r="B207" s="15" t="s">
        <v>57</v>
      </c>
      <c r="C207" s="15" t="s">
        <v>221</v>
      </c>
      <c r="D207" s="15" t="s">
        <v>222</v>
      </c>
      <c r="E207" s="15" t="s">
        <v>89</v>
      </c>
      <c r="F207" s="15" t="s">
        <v>89</v>
      </c>
      <c r="G207" s="15" t="s">
        <v>120</v>
      </c>
      <c r="H207" s="15" t="s">
        <v>91</v>
      </c>
      <c r="I207" s="15" t="s">
        <v>92</v>
      </c>
      <c r="J207" s="15" t="s">
        <v>155</v>
      </c>
      <c r="K207" s="16" t="s">
        <v>156</v>
      </c>
      <c r="L207" s="16" t="s">
        <v>1102</v>
      </c>
      <c r="M207" s="16" t="s">
        <v>1103</v>
      </c>
      <c r="N207" s="15" t="s">
        <v>1095</v>
      </c>
      <c r="O207" s="15" t="s">
        <v>98</v>
      </c>
      <c r="P207" s="15" t="s">
        <v>1090</v>
      </c>
      <c r="Q207" s="15"/>
      <c r="R207" s="15" t="s">
        <v>127</v>
      </c>
      <c r="S207" s="15" t="s">
        <v>114</v>
      </c>
      <c r="T207" s="15" t="str">
        <f>HYPERLINK("http://ovopark.oss-cn-hangzhou.aliyuncs.com/1994_443190930758235_image_1600503556712.jpg","查看图片")</f>
        <v>查看图片</v>
      </c>
      <c r="U207" s="15" t="s">
        <v>7</v>
      </c>
      <c r="V207" s="15" t="s">
        <v>1104</v>
      </c>
      <c r="W207" s="13" t="s">
        <v>102</v>
      </c>
      <c r="X207" s="13" t="s">
        <v>50</v>
      </c>
    </row>
    <row r="208" customHeight="1" spans="1:24">
      <c r="A208" s="15" t="s">
        <v>1105</v>
      </c>
      <c r="B208" s="15" t="s">
        <v>57</v>
      </c>
      <c r="C208" s="15" t="s">
        <v>221</v>
      </c>
      <c r="D208" s="15" t="s">
        <v>222</v>
      </c>
      <c r="E208" s="15" t="s">
        <v>89</v>
      </c>
      <c r="F208" s="15" t="s">
        <v>89</v>
      </c>
      <c r="G208" s="15" t="s">
        <v>120</v>
      </c>
      <c r="H208" s="15" t="s">
        <v>91</v>
      </c>
      <c r="I208" s="15" t="s">
        <v>92</v>
      </c>
      <c r="J208" s="15" t="s">
        <v>155</v>
      </c>
      <c r="K208" s="16" t="s">
        <v>156</v>
      </c>
      <c r="L208" s="16" t="s">
        <v>1106</v>
      </c>
      <c r="M208" s="16" t="s">
        <v>1107</v>
      </c>
      <c r="N208" s="15" t="s">
        <v>1095</v>
      </c>
      <c r="O208" s="15" t="s">
        <v>98</v>
      </c>
      <c r="P208" s="15" t="s">
        <v>1090</v>
      </c>
      <c r="Q208" s="15"/>
      <c r="R208" s="15" t="s">
        <v>127</v>
      </c>
      <c r="S208" s="15" t="s">
        <v>114</v>
      </c>
      <c r="T208" s="15" t="str">
        <f>HYPERLINK("http://ovopark.oss-cn-hangzhou.aliyuncs.com/1994_443262602976974_image_1600503628485.jpg","查看图片")</f>
        <v>查看图片</v>
      </c>
      <c r="U208" s="15" t="s">
        <v>7</v>
      </c>
      <c r="V208" s="15" t="s">
        <v>1108</v>
      </c>
      <c r="W208" s="13" t="s">
        <v>102</v>
      </c>
      <c r="X208" s="13" t="s">
        <v>50</v>
      </c>
    </row>
    <row r="209" customHeight="1" spans="1:24">
      <c r="A209" s="15" t="s">
        <v>1109</v>
      </c>
      <c r="B209" s="15" t="s">
        <v>57</v>
      </c>
      <c r="C209" s="15" t="s">
        <v>221</v>
      </c>
      <c r="D209" s="15" t="s">
        <v>222</v>
      </c>
      <c r="E209" s="15" t="s">
        <v>89</v>
      </c>
      <c r="F209" s="15" t="s">
        <v>89</v>
      </c>
      <c r="G209" s="15" t="s">
        <v>120</v>
      </c>
      <c r="H209" s="15" t="s">
        <v>91</v>
      </c>
      <c r="I209" s="15" t="s">
        <v>92</v>
      </c>
      <c r="J209" s="15" t="s">
        <v>155</v>
      </c>
      <c r="K209" s="16" t="s">
        <v>156</v>
      </c>
      <c r="L209" s="16" t="s">
        <v>1110</v>
      </c>
      <c r="M209" s="16" t="s">
        <v>1111</v>
      </c>
      <c r="N209" s="15" t="s">
        <v>1095</v>
      </c>
      <c r="O209" s="15" t="s">
        <v>98</v>
      </c>
      <c r="P209" s="15" t="s">
        <v>1090</v>
      </c>
      <c r="Q209" s="15"/>
      <c r="R209" s="15" t="s">
        <v>127</v>
      </c>
      <c r="S209" s="15" t="s">
        <v>114</v>
      </c>
      <c r="T209" s="15" t="str">
        <f>HYPERLINK("http://ovopark.oss-cn-hangzhou.aliyuncs.com/1994_443280941126971_image_1600503556712.jpg","查看图片")</f>
        <v>查看图片</v>
      </c>
      <c r="U209" s="15" t="s">
        <v>7</v>
      </c>
      <c r="V209" s="15" t="s">
        <v>1112</v>
      </c>
      <c r="W209" s="13" t="s">
        <v>102</v>
      </c>
      <c r="X209" s="13" t="s">
        <v>50</v>
      </c>
    </row>
    <row r="210" customHeight="1" spans="1:24">
      <c r="A210" s="15" t="s">
        <v>1113</v>
      </c>
      <c r="B210" s="15" t="s">
        <v>57</v>
      </c>
      <c r="C210" s="15" t="s">
        <v>221</v>
      </c>
      <c r="D210" s="15" t="s">
        <v>222</v>
      </c>
      <c r="E210" s="15" t="s">
        <v>89</v>
      </c>
      <c r="F210" s="15" t="s">
        <v>89</v>
      </c>
      <c r="G210" s="15" t="s">
        <v>120</v>
      </c>
      <c r="H210" s="15" t="s">
        <v>91</v>
      </c>
      <c r="I210" s="15" t="s">
        <v>92</v>
      </c>
      <c r="J210" s="15" t="s">
        <v>155</v>
      </c>
      <c r="K210" s="16" t="s">
        <v>156</v>
      </c>
      <c r="L210" s="16" t="s">
        <v>1114</v>
      </c>
      <c r="M210" s="16" t="s">
        <v>1115</v>
      </c>
      <c r="N210" s="15" t="s">
        <v>1095</v>
      </c>
      <c r="O210" s="15" t="s">
        <v>98</v>
      </c>
      <c r="P210" s="15" t="s">
        <v>1090</v>
      </c>
      <c r="Q210" s="15"/>
      <c r="R210" s="15" t="s">
        <v>127</v>
      </c>
      <c r="S210" s="15" t="s">
        <v>114</v>
      </c>
      <c r="T210" s="15" t="str">
        <f>HYPERLINK("http://ovopark.oss-cn-hangzhou.aliyuncs.com/1994_443304601467072_image_1600503503957.jpg","查看图片")</f>
        <v>查看图片</v>
      </c>
      <c r="U210" s="15" t="s">
        <v>7</v>
      </c>
      <c r="V210" s="15" t="s">
        <v>1116</v>
      </c>
      <c r="W210" s="13" t="s">
        <v>102</v>
      </c>
      <c r="X210" s="13" t="s">
        <v>50</v>
      </c>
    </row>
    <row r="211" customHeight="1" spans="1:24">
      <c r="A211" s="15" t="s">
        <v>1117</v>
      </c>
      <c r="B211" s="15" t="s">
        <v>51</v>
      </c>
      <c r="C211" s="15" t="s">
        <v>221</v>
      </c>
      <c r="D211" s="15" t="s">
        <v>222</v>
      </c>
      <c r="E211" s="15" t="s">
        <v>89</v>
      </c>
      <c r="F211" s="15" t="s">
        <v>89</v>
      </c>
      <c r="G211" s="15" t="s">
        <v>120</v>
      </c>
      <c r="H211" s="15" t="s">
        <v>91</v>
      </c>
      <c r="I211" s="15" t="s">
        <v>92</v>
      </c>
      <c r="J211" s="15" t="s">
        <v>155</v>
      </c>
      <c r="K211" s="16" t="s">
        <v>156</v>
      </c>
      <c r="L211" s="16" t="s">
        <v>1118</v>
      </c>
      <c r="M211" s="16" t="s">
        <v>1119</v>
      </c>
      <c r="N211" s="15" t="s">
        <v>1120</v>
      </c>
      <c r="O211" s="15" t="s">
        <v>98</v>
      </c>
      <c r="P211" s="15" t="s">
        <v>1090</v>
      </c>
      <c r="Q211" s="15"/>
      <c r="R211" s="15" t="s">
        <v>127</v>
      </c>
      <c r="S211" s="15" t="s">
        <v>114</v>
      </c>
      <c r="T211" s="15" t="str">
        <f>HYPERLINK("http://ovopark.oss-cn-hangzhou.aliyuncs.com/202009191653041068.jpeg","查看图片")</f>
        <v>查看图片</v>
      </c>
      <c r="U211" s="15" t="s">
        <v>7</v>
      </c>
      <c r="V211" s="15" t="s">
        <v>1121</v>
      </c>
      <c r="W211" s="13" t="s">
        <v>102</v>
      </c>
      <c r="X211" s="13" t="s">
        <v>50</v>
      </c>
    </row>
    <row r="212" customHeight="1" spans="1:24">
      <c r="A212" s="15" t="s">
        <v>1122</v>
      </c>
      <c r="B212" s="15" t="s">
        <v>51</v>
      </c>
      <c r="C212" s="15" t="s">
        <v>221</v>
      </c>
      <c r="D212" s="15" t="s">
        <v>222</v>
      </c>
      <c r="E212" s="15" t="s">
        <v>89</v>
      </c>
      <c r="F212" s="15" t="s">
        <v>89</v>
      </c>
      <c r="G212" s="15" t="s">
        <v>120</v>
      </c>
      <c r="H212" s="15" t="s">
        <v>91</v>
      </c>
      <c r="I212" s="15" t="s">
        <v>92</v>
      </c>
      <c r="J212" s="15" t="s">
        <v>155</v>
      </c>
      <c r="K212" s="16" t="s">
        <v>156</v>
      </c>
      <c r="L212" s="16" t="s">
        <v>1123</v>
      </c>
      <c r="M212" s="16" t="s">
        <v>1124</v>
      </c>
      <c r="N212" s="15" t="s">
        <v>1120</v>
      </c>
      <c r="O212" s="15" t="s">
        <v>98</v>
      </c>
      <c r="P212" s="15" t="s">
        <v>1090</v>
      </c>
      <c r="Q212" s="15"/>
      <c r="R212" s="15" t="s">
        <v>127</v>
      </c>
      <c r="S212" s="15" t="s">
        <v>114</v>
      </c>
      <c r="T212" s="15" t="str">
        <f>HYPERLINK("http://ovopark.oss-cn-hangzhou.aliyuncs.com/202009191653184191.jpeg","查看图片")</f>
        <v>查看图片</v>
      </c>
      <c r="U212" s="15" t="s">
        <v>7</v>
      </c>
      <c r="V212" s="15" t="s">
        <v>1125</v>
      </c>
      <c r="W212" s="13" t="s">
        <v>102</v>
      </c>
      <c r="X212" s="13" t="s">
        <v>50</v>
      </c>
    </row>
    <row r="213" customHeight="1" spans="1:24">
      <c r="A213" s="15" t="s">
        <v>1126</v>
      </c>
      <c r="B213" s="15" t="s">
        <v>51</v>
      </c>
      <c r="C213" s="15" t="s">
        <v>221</v>
      </c>
      <c r="D213" s="15" t="s">
        <v>222</v>
      </c>
      <c r="E213" s="15" t="s">
        <v>89</v>
      </c>
      <c r="F213" s="15" t="s">
        <v>89</v>
      </c>
      <c r="G213" s="15" t="s">
        <v>120</v>
      </c>
      <c r="H213" s="15" t="s">
        <v>91</v>
      </c>
      <c r="I213" s="15" t="s">
        <v>92</v>
      </c>
      <c r="J213" s="15" t="s">
        <v>155</v>
      </c>
      <c r="K213" s="16" t="s">
        <v>156</v>
      </c>
      <c r="L213" s="16" t="s">
        <v>1127</v>
      </c>
      <c r="M213" s="16" t="s">
        <v>1128</v>
      </c>
      <c r="N213" s="15" t="s">
        <v>1120</v>
      </c>
      <c r="O213" s="15" t="s">
        <v>98</v>
      </c>
      <c r="P213" s="15" t="s">
        <v>1090</v>
      </c>
      <c r="Q213" s="15"/>
      <c r="R213" s="15" t="s">
        <v>127</v>
      </c>
      <c r="S213" s="15" t="s">
        <v>114</v>
      </c>
      <c r="T213" s="15" t="str">
        <f>HYPERLINK("http://ovopark.oss-cn-hangzhou.aliyuncs.com/202009191653376807.jpeg","查看图片")</f>
        <v>查看图片</v>
      </c>
      <c r="U213" s="15" t="s">
        <v>7</v>
      </c>
      <c r="V213" s="15" t="s">
        <v>1129</v>
      </c>
      <c r="W213" s="13" t="s">
        <v>102</v>
      </c>
      <c r="X213" s="13" t="s">
        <v>50</v>
      </c>
    </row>
    <row r="214" customHeight="1" spans="1:24">
      <c r="A214" s="15" t="s">
        <v>1130</v>
      </c>
      <c r="B214" s="15" t="s">
        <v>51</v>
      </c>
      <c r="C214" s="15" t="s">
        <v>221</v>
      </c>
      <c r="D214" s="15" t="s">
        <v>222</v>
      </c>
      <c r="E214" s="15" t="s">
        <v>89</v>
      </c>
      <c r="F214" s="15" t="s">
        <v>89</v>
      </c>
      <c r="G214" s="15" t="s">
        <v>120</v>
      </c>
      <c r="H214" s="15" t="s">
        <v>91</v>
      </c>
      <c r="I214" s="15" t="s">
        <v>92</v>
      </c>
      <c r="J214" s="15" t="s">
        <v>155</v>
      </c>
      <c r="K214" s="16" t="s">
        <v>156</v>
      </c>
      <c r="L214" s="16" t="s">
        <v>1131</v>
      </c>
      <c r="M214" s="16" t="s">
        <v>1132</v>
      </c>
      <c r="N214" s="15" t="s">
        <v>1120</v>
      </c>
      <c r="O214" s="15" t="s">
        <v>98</v>
      </c>
      <c r="P214" s="15" t="s">
        <v>1090</v>
      </c>
      <c r="Q214" s="15"/>
      <c r="R214" s="15" t="s">
        <v>127</v>
      </c>
      <c r="S214" s="15" t="s">
        <v>114</v>
      </c>
      <c r="T214" s="15" t="str">
        <f>HYPERLINK("http://ovopark.oss-cn-hangzhou.aliyuncs.com/2020091916535520.jpeg","查看图片")</f>
        <v>查看图片</v>
      </c>
      <c r="U214" s="15" t="s">
        <v>7</v>
      </c>
      <c r="V214" s="15" t="s">
        <v>1133</v>
      </c>
      <c r="W214" s="13" t="s">
        <v>102</v>
      </c>
      <c r="X214" s="13" t="s">
        <v>50</v>
      </c>
    </row>
    <row r="215" customHeight="1" spans="1:24">
      <c r="A215" s="15" t="s">
        <v>1134</v>
      </c>
      <c r="B215" s="15" t="s">
        <v>51</v>
      </c>
      <c r="C215" s="15" t="s">
        <v>221</v>
      </c>
      <c r="D215" s="15" t="s">
        <v>222</v>
      </c>
      <c r="E215" s="15" t="s">
        <v>89</v>
      </c>
      <c r="F215" s="15" t="s">
        <v>89</v>
      </c>
      <c r="G215" s="15" t="s">
        <v>120</v>
      </c>
      <c r="H215" s="15" t="s">
        <v>91</v>
      </c>
      <c r="I215" s="15" t="s">
        <v>92</v>
      </c>
      <c r="J215" s="15" t="s">
        <v>155</v>
      </c>
      <c r="K215" s="16" t="s">
        <v>156</v>
      </c>
      <c r="L215" s="16" t="s">
        <v>1135</v>
      </c>
      <c r="M215" s="16" t="s">
        <v>1136</v>
      </c>
      <c r="N215" s="15" t="s">
        <v>1120</v>
      </c>
      <c r="O215" s="15" t="s">
        <v>98</v>
      </c>
      <c r="P215" s="15" t="s">
        <v>1090</v>
      </c>
      <c r="Q215" s="15"/>
      <c r="R215" s="15" t="s">
        <v>127</v>
      </c>
      <c r="S215" s="15" t="s">
        <v>114</v>
      </c>
      <c r="T215" s="15" t="str">
        <f>HYPERLINK("http://ovopark.oss-cn-hangzhou.aliyuncs.com/202009191654124666.jpeg","查看图片")</f>
        <v>查看图片</v>
      </c>
      <c r="U215" s="15" t="s">
        <v>7</v>
      </c>
      <c r="V215" s="15" t="s">
        <v>1137</v>
      </c>
      <c r="W215" s="13" t="s">
        <v>102</v>
      </c>
      <c r="X215" s="13" t="s">
        <v>50</v>
      </c>
    </row>
    <row r="216" customHeight="1" spans="1:24">
      <c r="A216" s="15" t="s">
        <v>1138</v>
      </c>
      <c r="B216" s="15" t="s">
        <v>51</v>
      </c>
      <c r="C216" s="15" t="s">
        <v>221</v>
      </c>
      <c r="D216" s="15" t="s">
        <v>222</v>
      </c>
      <c r="E216" s="15" t="s">
        <v>89</v>
      </c>
      <c r="F216" s="15" t="s">
        <v>89</v>
      </c>
      <c r="G216" s="15" t="s">
        <v>120</v>
      </c>
      <c r="H216" s="15" t="s">
        <v>91</v>
      </c>
      <c r="I216" s="15" t="s">
        <v>92</v>
      </c>
      <c r="J216" s="15" t="s">
        <v>155</v>
      </c>
      <c r="K216" s="16" t="s">
        <v>156</v>
      </c>
      <c r="L216" s="16" t="s">
        <v>1139</v>
      </c>
      <c r="M216" s="16" t="s">
        <v>1140</v>
      </c>
      <c r="N216" s="15" t="s">
        <v>1120</v>
      </c>
      <c r="O216" s="15" t="s">
        <v>98</v>
      </c>
      <c r="P216" s="15" t="s">
        <v>1090</v>
      </c>
      <c r="Q216" s="15"/>
      <c r="R216" s="15" t="s">
        <v>127</v>
      </c>
      <c r="S216" s="15" t="s">
        <v>114</v>
      </c>
      <c r="T216" s="15" t="str">
        <f>HYPERLINK("http://ovopark.oss-cn-hangzhou.aliyuncs.com/202009191655229814.jpeg","查看图片")</f>
        <v>查看图片</v>
      </c>
      <c r="U216" s="15" t="s">
        <v>7</v>
      </c>
      <c r="V216" s="15" t="s">
        <v>1141</v>
      </c>
      <c r="W216" s="13" t="s">
        <v>102</v>
      </c>
      <c r="X216" s="13" t="s">
        <v>50</v>
      </c>
    </row>
    <row r="217" customHeight="1" spans="1:24">
      <c r="A217" s="15" t="s">
        <v>1142</v>
      </c>
      <c r="B217" s="15" t="s">
        <v>55</v>
      </c>
      <c r="C217" s="15" t="s">
        <v>221</v>
      </c>
      <c r="D217" s="15" t="s">
        <v>222</v>
      </c>
      <c r="E217" s="15" t="s">
        <v>89</v>
      </c>
      <c r="F217" s="15" t="s">
        <v>89</v>
      </c>
      <c r="G217" s="15" t="s">
        <v>120</v>
      </c>
      <c r="H217" s="15" t="s">
        <v>91</v>
      </c>
      <c r="I217" s="15" t="s">
        <v>92</v>
      </c>
      <c r="J217" s="15" t="s">
        <v>155</v>
      </c>
      <c r="K217" s="16" t="s">
        <v>156</v>
      </c>
      <c r="L217" s="16" t="s">
        <v>1143</v>
      </c>
      <c r="M217" s="16" t="s">
        <v>1144</v>
      </c>
      <c r="N217" s="15" t="s">
        <v>1145</v>
      </c>
      <c r="O217" s="15" t="s">
        <v>98</v>
      </c>
      <c r="P217" s="15" t="s">
        <v>1090</v>
      </c>
      <c r="Q217" s="15"/>
      <c r="R217" s="15" t="s">
        <v>127</v>
      </c>
      <c r="S217" s="15" t="s">
        <v>114</v>
      </c>
      <c r="T217" s="15" t="str">
        <f>HYPERLINK("http://ovopark.oss-cn-hangzhou.aliyuncs.com/202009191747447164.jpeg","查看图片")</f>
        <v>查看图片</v>
      </c>
      <c r="U217" s="15" t="s">
        <v>7</v>
      </c>
      <c r="V217" s="15" t="s">
        <v>1146</v>
      </c>
      <c r="W217" s="13" t="s">
        <v>102</v>
      </c>
      <c r="X217" s="13" t="s">
        <v>50</v>
      </c>
    </row>
    <row r="218" customHeight="1" spans="1:24">
      <c r="A218" s="15" t="s">
        <v>1147</v>
      </c>
      <c r="B218" s="15" t="s">
        <v>55</v>
      </c>
      <c r="C218" s="15" t="s">
        <v>221</v>
      </c>
      <c r="D218" s="15" t="s">
        <v>222</v>
      </c>
      <c r="E218" s="15" t="s">
        <v>89</v>
      </c>
      <c r="F218" s="15" t="s">
        <v>89</v>
      </c>
      <c r="G218" s="15" t="s">
        <v>120</v>
      </c>
      <c r="H218" s="15" t="s">
        <v>91</v>
      </c>
      <c r="I218" s="15" t="s">
        <v>92</v>
      </c>
      <c r="J218" s="15" t="s">
        <v>155</v>
      </c>
      <c r="K218" s="16" t="s">
        <v>156</v>
      </c>
      <c r="L218" s="16" t="s">
        <v>1148</v>
      </c>
      <c r="M218" s="16" t="s">
        <v>1149</v>
      </c>
      <c r="N218" s="15" t="s">
        <v>1145</v>
      </c>
      <c r="O218" s="15" t="s">
        <v>98</v>
      </c>
      <c r="P218" s="15" t="s">
        <v>1090</v>
      </c>
      <c r="Q218" s="15"/>
      <c r="R218" s="15" t="s">
        <v>127</v>
      </c>
      <c r="S218" s="15" t="s">
        <v>114</v>
      </c>
      <c r="T218" s="15" t="str">
        <f>HYPERLINK("http://ovopark.oss-cn-hangzhou.aliyuncs.com/202009191747583291.jpeg","查看图片")</f>
        <v>查看图片</v>
      </c>
      <c r="U218" s="15" t="s">
        <v>7</v>
      </c>
      <c r="V218" s="15" t="s">
        <v>1150</v>
      </c>
      <c r="W218" s="13" t="s">
        <v>102</v>
      </c>
      <c r="X218" s="13" t="s">
        <v>50</v>
      </c>
    </row>
    <row r="219" customHeight="1" spans="1:24">
      <c r="A219" s="15" t="s">
        <v>1151</v>
      </c>
      <c r="B219" s="15" t="s">
        <v>55</v>
      </c>
      <c r="C219" s="15" t="s">
        <v>221</v>
      </c>
      <c r="D219" s="15" t="s">
        <v>222</v>
      </c>
      <c r="E219" s="15" t="s">
        <v>89</v>
      </c>
      <c r="F219" s="15" t="s">
        <v>89</v>
      </c>
      <c r="G219" s="15" t="s">
        <v>120</v>
      </c>
      <c r="H219" s="15" t="s">
        <v>91</v>
      </c>
      <c r="I219" s="15" t="s">
        <v>92</v>
      </c>
      <c r="J219" s="15" t="s">
        <v>155</v>
      </c>
      <c r="K219" s="16" t="s">
        <v>156</v>
      </c>
      <c r="L219" s="16" t="s">
        <v>1152</v>
      </c>
      <c r="M219" s="16" t="s">
        <v>1153</v>
      </c>
      <c r="N219" s="15" t="s">
        <v>1145</v>
      </c>
      <c r="O219" s="15" t="s">
        <v>98</v>
      </c>
      <c r="P219" s="15" t="s">
        <v>1090</v>
      </c>
      <c r="Q219" s="15"/>
      <c r="R219" s="15" t="s">
        <v>127</v>
      </c>
      <c r="S219" s="15" t="s">
        <v>114</v>
      </c>
      <c r="T219" s="15" t="str">
        <f>HYPERLINK("http://ovopark.oss-cn-hangzhou.aliyuncs.com/202009191748216352.jpeg","查看图片")</f>
        <v>查看图片</v>
      </c>
      <c r="U219" s="15" t="s">
        <v>7</v>
      </c>
      <c r="V219" s="15" t="s">
        <v>1154</v>
      </c>
      <c r="W219" s="13" t="s">
        <v>102</v>
      </c>
      <c r="X219" s="13" t="s">
        <v>50</v>
      </c>
    </row>
    <row r="220" customHeight="1" spans="1:24">
      <c r="A220" s="15" t="s">
        <v>1155</v>
      </c>
      <c r="B220" s="15" t="s">
        <v>55</v>
      </c>
      <c r="C220" s="15" t="s">
        <v>221</v>
      </c>
      <c r="D220" s="15" t="s">
        <v>222</v>
      </c>
      <c r="E220" s="15" t="s">
        <v>89</v>
      </c>
      <c r="F220" s="15" t="s">
        <v>89</v>
      </c>
      <c r="G220" s="15" t="s">
        <v>120</v>
      </c>
      <c r="H220" s="15" t="s">
        <v>91</v>
      </c>
      <c r="I220" s="15" t="s">
        <v>92</v>
      </c>
      <c r="J220" s="15" t="s">
        <v>155</v>
      </c>
      <c r="K220" s="16" t="s">
        <v>156</v>
      </c>
      <c r="L220" s="16" t="s">
        <v>1156</v>
      </c>
      <c r="M220" s="16" t="s">
        <v>1157</v>
      </c>
      <c r="N220" s="15" t="s">
        <v>1145</v>
      </c>
      <c r="O220" s="15" t="s">
        <v>98</v>
      </c>
      <c r="P220" s="15" t="s">
        <v>1090</v>
      </c>
      <c r="Q220" s="15"/>
      <c r="R220" s="15" t="s">
        <v>127</v>
      </c>
      <c r="S220" s="15" t="s">
        <v>114</v>
      </c>
      <c r="T220" s="15" t="str">
        <f>HYPERLINK("http://ovopark.oss-cn-hangzhou.aliyuncs.com/20200919174835721.jpeg","查看图片")</f>
        <v>查看图片</v>
      </c>
      <c r="U220" s="15" t="s">
        <v>7</v>
      </c>
      <c r="V220" s="15" t="s">
        <v>1158</v>
      </c>
      <c r="W220" s="13" t="s">
        <v>102</v>
      </c>
      <c r="X220" s="13" t="s">
        <v>50</v>
      </c>
    </row>
    <row r="221" customHeight="1" spans="1:24">
      <c r="A221" s="15" t="s">
        <v>1159</v>
      </c>
      <c r="B221" s="15" t="s">
        <v>55</v>
      </c>
      <c r="C221" s="15" t="s">
        <v>221</v>
      </c>
      <c r="D221" s="15" t="s">
        <v>222</v>
      </c>
      <c r="E221" s="15" t="s">
        <v>89</v>
      </c>
      <c r="F221" s="15" t="s">
        <v>89</v>
      </c>
      <c r="G221" s="15" t="s">
        <v>120</v>
      </c>
      <c r="H221" s="15" t="s">
        <v>91</v>
      </c>
      <c r="I221" s="15" t="s">
        <v>92</v>
      </c>
      <c r="J221" s="15" t="s">
        <v>155</v>
      </c>
      <c r="K221" s="16" t="s">
        <v>156</v>
      </c>
      <c r="L221" s="16" t="s">
        <v>1160</v>
      </c>
      <c r="M221" s="16" t="s">
        <v>1161</v>
      </c>
      <c r="N221" s="15" t="s">
        <v>1145</v>
      </c>
      <c r="O221" s="15" t="s">
        <v>98</v>
      </c>
      <c r="P221" s="15" t="s">
        <v>1090</v>
      </c>
      <c r="Q221" s="15"/>
      <c r="R221" s="15" t="s">
        <v>127</v>
      </c>
      <c r="S221" s="15" t="s">
        <v>114</v>
      </c>
      <c r="T221" s="15" t="str">
        <f>HYPERLINK("http://ovopark.oss-cn-hangzhou.aliyuncs.com/202009191748555738.jpeg","查看图片")</f>
        <v>查看图片</v>
      </c>
      <c r="U221" s="15" t="s">
        <v>7</v>
      </c>
      <c r="V221" s="15" t="s">
        <v>1162</v>
      </c>
      <c r="W221" s="13" t="s">
        <v>102</v>
      </c>
      <c r="X221" s="13" t="s">
        <v>50</v>
      </c>
    </row>
    <row r="222" customHeight="1" spans="1:24">
      <c r="A222" s="15" t="s">
        <v>1163</v>
      </c>
      <c r="B222" s="15" t="s">
        <v>55</v>
      </c>
      <c r="C222" s="15" t="s">
        <v>221</v>
      </c>
      <c r="D222" s="15" t="s">
        <v>222</v>
      </c>
      <c r="E222" s="15" t="s">
        <v>89</v>
      </c>
      <c r="F222" s="15" t="s">
        <v>89</v>
      </c>
      <c r="G222" s="15" t="s">
        <v>120</v>
      </c>
      <c r="H222" s="15" t="s">
        <v>91</v>
      </c>
      <c r="I222" s="15" t="s">
        <v>92</v>
      </c>
      <c r="J222" s="15" t="s">
        <v>155</v>
      </c>
      <c r="K222" s="16" t="s">
        <v>156</v>
      </c>
      <c r="L222" s="16" t="s">
        <v>1164</v>
      </c>
      <c r="M222" s="16" t="s">
        <v>1165</v>
      </c>
      <c r="N222" s="15" t="s">
        <v>1145</v>
      </c>
      <c r="O222" s="15" t="s">
        <v>98</v>
      </c>
      <c r="P222" s="15" t="s">
        <v>1090</v>
      </c>
      <c r="Q222" s="15"/>
      <c r="R222" s="15" t="s">
        <v>127</v>
      </c>
      <c r="S222" s="15" t="s">
        <v>114</v>
      </c>
      <c r="T222" s="15" t="str">
        <f>HYPERLINK("http://ovopark.oss-cn-hangzhou.aliyuncs.com/202009191749173977.jpeg","查看图片")</f>
        <v>查看图片</v>
      </c>
      <c r="U222" s="15" t="s">
        <v>7</v>
      </c>
      <c r="V222" s="15" t="s">
        <v>1166</v>
      </c>
      <c r="W222" s="13" t="s">
        <v>102</v>
      </c>
      <c r="X222" s="13" t="s">
        <v>50</v>
      </c>
    </row>
    <row r="223" customHeight="1" spans="1:24">
      <c r="A223" s="15" t="s">
        <v>1167</v>
      </c>
      <c r="B223" s="15" t="s">
        <v>60</v>
      </c>
      <c r="C223" s="15" t="s">
        <v>1168</v>
      </c>
      <c r="D223" s="15" t="s">
        <v>1169</v>
      </c>
      <c r="E223" s="15" t="s">
        <v>658</v>
      </c>
      <c r="F223" s="15" t="s">
        <v>89</v>
      </c>
      <c r="G223" s="15" t="s">
        <v>120</v>
      </c>
      <c r="H223" s="15" t="s">
        <v>91</v>
      </c>
      <c r="I223" s="15" t="s">
        <v>92</v>
      </c>
      <c r="J223" s="15" t="s">
        <v>181</v>
      </c>
      <c r="K223" s="16" t="s">
        <v>182</v>
      </c>
      <c r="L223" s="16" t="s">
        <v>1170</v>
      </c>
      <c r="M223" s="16" t="s">
        <v>1171</v>
      </c>
      <c r="N223" s="15" t="s">
        <v>1172</v>
      </c>
      <c r="O223" s="15" t="s">
        <v>98</v>
      </c>
      <c r="P223" s="15" t="s">
        <v>160</v>
      </c>
      <c r="Q223" s="15"/>
      <c r="R223" s="15" t="s">
        <v>1173</v>
      </c>
      <c r="S223" s="15" t="s">
        <v>114</v>
      </c>
      <c r="T223" s="15" t="s">
        <v>114</v>
      </c>
      <c r="U223" s="15" t="s">
        <v>15</v>
      </c>
      <c r="V223" s="15" t="s">
        <v>1174</v>
      </c>
      <c r="W223" s="13" t="s">
        <v>137</v>
      </c>
      <c r="X223" s="13" t="s">
        <v>1175</v>
      </c>
    </row>
    <row r="224" customHeight="1" spans="1:24">
      <c r="A224" s="15" t="s">
        <v>1176</v>
      </c>
      <c r="B224" s="15" t="s">
        <v>60</v>
      </c>
      <c r="C224" s="15" t="s">
        <v>426</v>
      </c>
      <c r="D224" s="15" t="s">
        <v>1177</v>
      </c>
      <c r="E224" s="15" t="s">
        <v>428</v>
      </c>
      <c r="F224" s="15" t="s">
        <v>89</v>
      </c>
      <c r="G224" s="15" t="s">
        <v>120</v>
      </c>
      <c r="H224" s="15" t="s">
        <v>91</v>
      </c>
      <c r="I224" s="15" t="s">
        <v>92</v>
      </c>
      <c r="J224" s="15" t="s">
        <v>181</v>
      </c>
      <c r="K224" s="16" t="s">
        <v>182</v>
      </c>
      <c r="L224" s="16" t="s">
        <v>1178</v>
      </c>
      <c r="M224" s="16" t="s">
        <v>1179</v>
      </c>
      <c r="N224" s="15" t="s">
        <v>1172</v>
      </c>
      <c r="O224" s="15" t="s">
        <v>98</v>
      </c>
      <c r="P224" s="15" t="s">
        <v>160</v>
      </c>
      <c r="Q224" s="15"/>
      <c r="R224" s="15" t="s">
        <v>1180</v>
      </c>
      <c r="S224" s="15" t="s">
        <v>114</v>
      </c>
      <c r="T224" s="15" t="s">
        <v>114</v>
      </c>
      <c r="U224" s="15" t="s">
        <v>15</v>
      </c>
      <c r="V224" s="15" t="s">
        <v>1181</v>
      </c>
      <c r="W224" s="13" t="s">
        <v>137</v>
      </c>
      <c r="X224" s="13" t="s">
        <v>1175</v>
      </c>
    </row>
    <row r="225" customHeight="1" spans="1:24">
      <c r="A225" s="15" t="s">
        <v>1182</v>
      </c>
      <c r="B225" s="15" t="s">
        <v>60</v>
      </c>
      <c r="C225" s="15" t="s">
        <v>1183</v>
      </c>
      <c r="D225" s="15" t="s">
        <v>1184</v>
      </c>
      <c r="E225" s="15" t="s">
        <v>428</v>
      </c>
      <c r="F225" s="15" t="s">
        <v>89</v>
      </c>
      <c r="G225" s="15" t="s">
        <v>120</v>
      </c>
      <c r="H225" s="15" t="s">
        <v>91</v>
      </c>
      <c r="I225" s="15" t="s">
        <v>92</v>
      </c>
      <c r="J225" s="15" t="s">
        <v>181</v>
      </c>
      <c r="K225" s="16" t="s">
        <v>182</v>
      </c>
      <c r="L225" s="16" t="s">
        <v>1185</v>
      </c>
      <c r="M225" s="16" t="s">
        <v>1186</v>
      </c>
      <c r="N225" s="15" t="s">
        <v>1172</v>
      </c>
      <c r="O225" s="15" t="s">
        <v>98</v>
      </c>
      <c r="P225" s="15" t="s">
        <v>160</v>
      </c>
      <c r="Q225" s="15"/>
      <c r="R225" s="15" t="s">
        <v>1187</v>
      </c>
      <c r="S225" s="15" t="str">
        <f>HYPERLINK("http://ovopark.oss-cn-hangzhou.aliyuncs.com/1930_12936447376729_image_1600141362550.jpg?x-oss-process=image/resize,w_700,l_700","查看图片")</f>
        <v>查看图片</v>
      </c>
      <c r="T225" s="15" t="s">
        <v>114</v>
      </c>
      <c r="U225" s="15" t="s">
        <v>15</v>
      </c>
      <c r="V225" s="15" t="s">
        <v>1188</v>
      </c>
      <c r="W225" s="13" t="s">
        <v>137</v>
      </c>
      <c r="X225" s="13" t="s">
        <v>1175</v>
      </c>
    </row>
    <row r="226" customHeight="1" spans="1:24">
      <c r="A226" s="15" t="s">
        <v>1189</v>
      </c>
      <c r="B226" s="15" t="s">
        <v>60</v>
      </c>
      <c r="C226" s="15" t="s">
        <v>675</v>
      </c>
      <c r="D226" s="15" t="s">
        <v>740</v>
      </c>
      <c r="E226" s="15" t="s">
        <v>119</v>
      </c>
      <c r="F226" s="15" t="s">
        <v>89</v>
      </c>
      <c r="G226" s="15" t="s">
        <v>120</v>
      </c>
      <c r="H226" s="15" t="s">
        <v>91</v>
      </c>
      <c r="I226" s="15" t="s">
        <v>92</v>
      </c>
      <c r="J226" s="15" t="s">
        <v>181</v>
      </c>
      <c r="K226" s="16" t="s">
        <v>182</v>
      </c>
      <c r="L226" s="16" t="s">
        <v>1190</v>
      </c>
      <c r="M226" s="16" t="s">
        <v>1191</v>
      </c>
      <c r="N226" s="15" t="s">
        <v>1172</v>
      </c>
      <c r="O226" s="15" t="s">
        <v>98</v>
      </c>
      <c r="P226" s="15" t="s">
        <v>160</v>
      </c>
      <c r="Q226" s="15"/>
      <c r="R226" s="15" t="s">
        <v>1192</v>
      </c>
      <c r="S226" s="15" t="s">
        <v>114</v>
      </c>
      <c r="T226" s="15" t="str">
        <f>HYPERLINK("http://ovopark.oss-cn-hangzhou.aliyuncs.com/2314_164467718006674_image_1600659788092.jpg","查看图片")</f>
        <v>查看图片</v>
      </c>
      <c r="U226" s="15" t="s">
        <v>15</v>
      </c>
      <c r="V226" s="15" t="s">
        <v>1193</v>
      </c>
      <c r="W226" s="13" t="s">
        <v>137</v>
      </c>
      <c r="X226" s="13" t="s">
        <v>1175</v>
      </c>
    </row>
    <row r="227" customHeight="1" spans="1:24">
      <c r="A227" s="15" t="s">
        <v>1194</v>
      </c>
      <c r="B227" s="15" t="s">
        <v>60</v>
      </c>
      <c r="C227" s="15" t="s">
        <v>1195</v>
      </c>
      <c r="D227" s="15" t="s">
        <v>1196</v>
      </c>
      <c r="E227" s="15" t="s">
        <v>119</v>
      </c>
      <c r="F227" s="15" t="s">
        <v>89</v>
      </c>
      <c r="G227" s="15" t="s">
        <v>120</v>
      </c>
      <c r="H227" s="15" t="s">
        <v>91</v>
      </c>
      <c r="I227" s="15" t="s">
        <v>92</v>
      </c>
      <c r="J227" s="15" t="s">
        <v>181</v>
      </c>
      <c r="K227" s="16" t="s">
        <v>182</v>
      </c>
      <c r="L227" s="16" t="s">
        <v>1197</v>
      </c>
      <c r="M227" s="16" t="s">
        <v>1198</v>
      </c>
      <c r="N227" s="15" t="s">
        <v>1172</v>
      </c>
      <c r="O227" s="15" t="s">
        <v>98</v>
      </c>
      <c r="P227" s="15" t="s">
        <v>160</v>
      </c>
      <c r="Q227" s="15"/>
      <c r="R227" s="15" t="s">
        <v>1199</v>
      </c>
      <c r="S227" s="15" t="s">
        <v>114</v>
      </c>
      <c r="T227" s="15" t="s">
        <v>114</v>
      </c>
      <c r="U227" s="15" t="s">
        <v>15</v>
      </c>
      <c r="V227" s="15" t="s">
        <v>1200</v>
      </c>
      <c r="W227" s="13" t="s">
        <v>137</v>
      </c>
      <c r="X227" s="13" t="s">
        <v>1175</v>
      </c>
    </row>
    <row r="228" customHeight="1" spans="1:24">
      <c r="A228" s="15" t="s">
        <v>1201</v>
      </c>
      <c r="B228" s="15" t="s">
        <v>60</v>
      </c>
      <c r="C228" s="15" t="s">
        <v>212</v>
      </c>
      <c r="D228" s="15" t="s">
        <v>1202</v>
      </c>
      <c r="E228" s="15" t="s">
        <v>154</v>
      </c>
      <c r="F228" s="15" t="s">
        <v>89</v>
      </c>
      <c r="G228" s="15" t="s">
        <v>120</v>
      </c>
      <c r="H228" s="15" t="s">
        <v>91</v>
      </c>
      <c r="I228" s="15" t="s">
        <v>92</v>
      </c>
      <c r="J228" s="15" t="s">
        <v>181</v>
      </c>
      <c r="K228" s="16" t="s">
        <v>182</v>
      </c>
      <c r="L228" s="16" t="s">
        <v>1203</v>
      </c>
      <c r="M228" s="16" t="s">
        <v>1204</v>
      </c>
      <c r="N228" s="15" t="s">
        <v>1172</v>
      </c>
      <c r="O228" s="15" t="s">
        <v>98</v>
      </c>
      <c r="P228" s="15" t="s">
        <v>160</v>
      </c>
      <c r="Q228" s="15"/>
      <c r="R228" s="15" t="s">
        <v>1205</v>
      </c>
      <c r="S228" s="15" t="s">
        <v>114</v>
      </c>
      <c r="T228" s="15" t="str">
        <f>HYPERLINK("http://ovopark.oss-cn-hangzhou.aliyuncs.com/2314_163504479424008_image_1600658435691.jpg","查看图片")</f>
        <v>查看图片</v>
      </c>
      <c r="U228" s="15" t="s">
        <v>15</v>
      </c>
      <c r="V228" s="15" t="s">
        <v>1206</v>
      </c>
      <c r="W228" s="13" t="s">
        <v>137</v>
      </c>
      <c r="X228" s="13" t="s">
        <v>1175</v>
      </c>
    </row>
    <row r="229" customHeight="1" spans="1:24">
      <c r="A229" s="15" t="s">
        <v>1207</v>
      </c>
      <c r="B229" s="15" t="s">
        <v>60</v>
      </c>
      <c r="C229" s="15" t="s">
        <v>1195</v>
      </c>
      <c r="D229" s="15" t="s">
        <v>1208</v>
      </c>
      <c r="E229" s="15" t="s">
        <v>119</v>
      </c>
      <c r="F229" s="15" t="s">
        <v>89</v>
      </c>
      <c r="G229" s="15" t="s">
        <v>120</v>
      </c>
      <c r="H229" s="15" t="s">
        <v>91</v>
      </c>
      <c r="I229" s="15" t="s">
        <v>92</v>
      </c>
      <c r="J229" s="15" t="s">
        <v>181</v>
      </c>
      <c r="K229" s="16" t="s">
        <v>182</v>
      </c>
      <c r="L229" s="16" t="s">
        <v>1209</v>
      </c>
      <c r="M229" s="16" t="s">
        <v>1210</v>
      </c>
      <c r="N229" s="15" t="s">
        <v>1172</v>
      </c>
      <c r="O229" s="15" t="s">
        <v>98</v>
      </c>
      <c r="P229" s="15" t="s">
        <v>160</v>
      </c>
      <c r="Q229" s="15"/>
      <c r="R229" s="15" t="s">
        <v>1211</v>
      </c>
      <c r="S229" s="15" t="s">
        <v>114</v>
      </c>
      <c r="T229" s="15" t="s">
        <v>114</v>
      </c>
      <c r="U229" s="15" t="s">
        <v>15</v>
      </c>
      <c r="V229" s="15" t="s">
        <v>1212</v>
      </c>
      <c r="W229" s="13" t="s">
        <v>137</v>
      </c>
      <c r="X229" s="13" t="s">
        <v>1175</v>
      </c>
    </row>
    <row r="230" customHeight="1" spans="1:24">
      <c r="A230" s="15" t="s">
        <v>1213</v>
      </c>
      <c r="B230" s="15" t="s">
        <v>60</v>
      </c>
      <c r="C230" s="15" t="s">
        <v>675</v>
      </c>
      <c r="D230" s="15" t="s">
        <v>1214</v>
      </c>
      <c r="E230" s="15" t="s">
        <v>658</v>
      </c>
      <c r="F230" s="15" t="s">
        <v>89</v>
      </c>
      <c r="G230" s="15" t="s">
        <v>120</v>
      </c>
      <c r="H230" s="15" t="s">
        <v>91</v>
      </c>
      <c r="I230" s="15" t="s">
        <v>92</v>
      </c>
      <c r="J230" s="15" t="s">
        <v>181</v>
      </c>
      <c r="K230" s="16" t="s">
        <v>182</v>
      </c>
      <c r="L230" s="16" t="s">
        <v>1215</v>
      </c>
      <c r="M230" s="16" t="s">
        <v>1216</v>
      </c>
      <c r="N230" s="15" t="s">
        <v>1172</v>
      </c>
      <c r="O230" s="15" t="s">
        <v>98</v>
      </c>
      <c r="P230" s="15" t="s">
        <v>160</v>
      </c>
      <c r="Q230" s="15"/>
      <c r="R230" s="15" t="s">
        <v>1217</v>
      </c>
      <c r="S230" s="15" t="s">
        <v>114</v>
      </c>
      <c r="T230" s="15" t="s">
        <v>114</v>
      </c>
      <c r="U230" s="15" t="s">
        <v>15</v>
      </c>
      <c r="V230" s="15" t="s">
        <v>1218</v>
      </c>
      <c r="W230" s="13" t="s">
        <v>137</v>
      </c>
      <c r="X230" s="13" t="s">
        <v>1175</v>
      </c>
    </row>
    <row r="231" customHeight="1" spans="1:24">
      <c r="A231" s="15" t="s">
        <v>1219</v>
      </c>
      <c r="B231" s="15" t="s">
        <v>60</v>
      </c>
      <c r="C231" s="15" t="s">
        <v>1220</v>
      </c>
      <c r="D231" s="15" t="s">
        <v>1221</v>
      </c>
      <c r="E231" s="15" t="s">
        <v>89</v>
      </c>
      <c r="F231" s="15" t="s">
        <v>89</v>
      </c>
      <c r="G231" s="15" t="s">
        <v>120</v>
      </c>
      <c r="H231" s="15" t="s">
        <v>91</v>
      </c>
      <c r="I231" s="15" t="s">
        <v>92</v>
      </c>
      <c r="J231" s="15" t="s">
        <v>181</v>
      </c>
      <c r="K231" s="16" t="s">
        <v>182</v>
      </c>
      <c r="L231" s="16" t="s">
        <v>1222</v>
      </c>
      <c r="M231" s="16" t="s">
        <v>1223</v>
      </c>
      <c r="N231" s="15" t="s">
        <v>1172</v>
      </c>
      <c r="O231" s="15" t="s">
        <v>98</v>
      </c>
      <c r="P231" s="15" t="s">
        <v>160</v>
      </c>
      <c r="Q231" s="15"/>
      <c r="R231" s="15" t="s">
        <v>1224</v>
      </c>
      <c r="S231" s="15" t="str">
        <f>HYPERLINK("http://ovopark.oss-cn-hangzhou.aliyuncs.com/1930_14746854014789_image_1600143456391.jpg?x-oss-process=image/resize,w_700,l_700","查看图片")</f>
        <v>查看图片</v>
      </c>
      <c r="T231" s="15" t="str">
        <f>HYPERLINK("http://ovopark.oss-cn-hangzhou.aliyuncs.com/2314_163127851517295_image_1600658094619.jpg","查看图片")</f>
        <v>查看图片</v>
      </c>
      <c r="U231" s="15" t="s">
        <v>15</v>
      </c>
      <c r="V231" s="15" t="s">
        <v>1225</v>
      </c>
      <c r="W231" s="13" t="s">
        <v>137</v>
      </c>
      <c r="X231" s="13" t="s">
        <v>1175</v>
      </c>
    </row>
    <row r="232" customHeight="1" spans="1:24">
      <c r="A232" s="15" t="s">
        <v>1226</v>
      </c>
      <c r="B232" s="15" t="s">
        <v>60</v>
      </c>
      <c r="C232" s="15" t="s">
        <v>212</v>
      </c>
      <c r="D232" s="15" t="s">
        <v>408</v>
      </c>
      <c r="E232" s="15" t="s">
        <v>154</v>
      </c>
      <c r="F232" s="15" t="s">
        <v>89</v>
      </c>
      <c r="G232" s="15" t="s">
        <v>120</v>
      </c>
      <c r="H232" s="15" t="s">
        <v>91</v>
      </c>
      <c r="I232" s="15" t="s">
        <v>92</v>
      </c>
      <c r="J232" s="15" t="s">
        <v>181</v>
      </c>
      <c r="K232" s="16" t="s">
        <v>182</v>
      </c>
      <c r="L232" s="16" t="s">
        <v>1227</v>
      </c>
      <c r="M232" s="16" t="s">
        <v>1228</v>
      </c>
      <c r="N232" s="15" t="s">
        <v>1172</v>
      </c>
      <c r="O232" s="15" t="s">
        <v>98</v>
      </c>
      <c r="P232" s="15" t="s">
        <v>160</v>
      </c>
      <c r="Q232" s="15"/>
      <c r="R232" s="15" t="s">
        <v>1229</v>
      </c>
      <c r="S232" s="15" t="str">
        <f>HYPERLINK("http://ovopark.oss-cn-hangzhou.aliyuncs.com/1930_14622292392076_image_1600143278268.jpg?x-oss-process=image/resize,w_700,l_700","查看图片")</f>
        <v>查看图片</v>
      </c>
      <c r="T232" s="15" t="str">
        <f>HYPERLINK("http://ovopark.oss-cn-hangzhou.aliyuncs.com/2314_163376796907882_image_1600658341098.jpg","查看图片")</f>
        <v>查看图片</v>
      </c>
      <c r="U232" s="15" t="s">
        <v>15</v>
      </c>
      <c r="V232" s="15" t="s">
        <v>1230</v>
      </c>
      <c r="W232" s="13" t="s">
        <v>137</v>
      </c>
      <c r="X232" s="13" t="s">
        <v>1175</v>
      </c>
    </row>
    <row r="233" customHeight="1" spans="1:24">
      <c r="A233" s="15" t="s">
        <v>1231</v>
      </c>
      <c r="B233" s="15" t="s">
        <v>60</v>
      </c>
      <c r="C233" s="15" t="s">
        <v>434</v>
      </c>
      <c r="D233" s="15" t="s">
        <v>695</v>
      </c>
      <c r="E233" s="15" t="s">
        <v>119</v>
      </c>
      <c r="F233" s="15" t="s">
        <v>89</v>
      </c>
      <c r="G233" s="15" t="s">
        <v>120</v>
      </c>
      <c r="H233" s="15" t="s">
        <v>91</v>
      </c>
      <c r="I233" s="15" t="s">
        <v>92</v>
      </c>
      <c r="J233" s="15" t="s">
        <v>181</v>
      </c>
      <c r="K233" s="16" t="s">
        <v>182</v>
      </c>
      <c r="L233" s="16" t="s">
        <v>1232</v>
      </c>
      <c r="M233" s="16" t="s">
        <v>1233</v>
      </c>
      <c r="N233" s="15" t="s">
        <v>1172</v>
      </c>
      <c r="O233" s="15" t="s">
        <v>98</v>
      </c>
      <c r="P233" s="15" t="s">
        <v>160</v>
      </c>
      <c r="Q233" s="15"/>
      <c r="R233" s="15" t="s">
        <v>1234</v>
      </c>
      <c r="S233" s="15" t="s">
        <v>114</v>
      </c>
      <c r="T233" s="15" t="str">
        <f>HYPERLINK("http://ovopark.oss-cn-hangzhou.aliyuncs.com/2314_163635292082842_image_1600658603055.jpg","查看图片")</f>
        <v>查看图片</v>
      </c>
      <c r="U233" s="15" t="s">
        <v>15</v>
      </c>
      <c r="V233" s="15" t="s">
        <v>1235</v>
      </c>
      <c r="W233" s="13" t="s">
        <v>137</v>
      </c>
      <c r="X233" s="13" t="s">
        <v>1175</v>
      </c>
    </row>
    <row r="234" customHeight="1" spans="1:24">
      <c r="A234" s="15" t="s">
        <v>1236</v>
      </c>
      <c r="B234" s="15" t="s">
        <v>60</v>
      </c>
      <c r="C234" s="15" t="s">
        <v>337</v>
      </c>
      <c r="D234" s="15" t="s">
        <v>709</v>
      </c>
      <c r="E234" s="15" t="s">
        <v>119</v>
      </c>
      <c r="F234" s="15" t="s">
        <v>89</v>
      </c>
      <c r="G234" s="15" t="s">
        <v>120</v>
      </c>
      <c r="H234" s="15" t="s">
        <v>91</v>
      </c>
      <c r="I234" s="15" t="s">
        <v>92</v>
      </c>
      <c r="J234" s="15" t="s">
        <v>181</v>
      </c>
      <c r="K234" s="16" t="s">
        <v>182</v>
      </c>
      <c r="L234" s="16" t="s">
        <v>1237</v>
      </c>
      <c r="M234" s="16" t="s">
        <v>1238</v>
      </c>
      <c r="N234" s="15" t="s">
        <v>1172</v>
      </c>
      <c r="O234" s="15" t="s">
        <v>98</v>
      </c>
      <c r="P234" s="15" t="s">
        <v>160</v>
      </c>
      <c r="Q234" s="15"/>
      <c r="R234" s="15" t="s">
        <v>1239</v>
      </c>
      <c r="S234" s="15" t="str">
        <f>HYPERLINK("http://ovopark.oss-cn-hangzhou.aliyuncs.com/1930_14251927421801_image_1600142924328.jpg?x-oss-process=image/resize,w_700,l_700","查看图片")</f>
        <v>查看图片</v>
      </c>
      <c r="T234" s="15" t="str">
        <f>HYPERLINK("http://ovopark.oss-cn-hangzhou.aliyuncs.com/2314_163871243840098_image_1600658826833.jpg","查看图片")</f>
        <v>查看图片</v>
      </c>
      <c r="U234" s="15" t="s">
        <v>15</v>
      </c>
      <c r="V234" s="15" t="s">
        <v>1240</v>
      </c>
      <c r="W234" s="13" t="s">
        <v>137</v>
      </c>
      <c r="X234" s="13" t="s">
        <v>1175</v>
      </c>
    </row>
    <row r="235" customHeight="1" spans="1:24">
      <c r="A235" s="15" t="s">
        <v>1241</v>
      </c>
      <c r="B235" s="15" t="s">
        <v>60</v>
      </c>
      <c r="C235" s="15" t="s">
        <v>426</v>
      </c>
      <c r="D235" s="15" t="s">
        <v>427</v>
      </c>
      <c r="E235" s="15" t="s">
        <v>428</v>
      </c>
      <c r="F235" s="15" t="s">
        <v>89</v>
      </c>
      <c r="G235" s="15" t="s">
        <v>120</v>
      </c>
      <c r="H235" s="15" t="s">
        <v>91</v>
      </c>
      <c r="I235" s="15" t="s">
        <v>92</v>
      </c>
      <c r="J235" s="15" t="s">
        <v>181</v>
      </c>
      <c r="K235" s="16" t="s">
        <v>182</v>
      </c>
      <c r="L235" s="16" t="s">
        <v>1242</v>
      </c>
      <c r="M235" s="16" t="s">
        <v>1243</v>
      </c>
      <c r="N235" s="15" t="s">
        <v>1172</v>
      </c>
      <c r="O235" s="15" t="s">
        <v>98</v>
      </c>
      <c r="P235" s="15" t="s">
        <v>160</v>
      </c>
      <c r="Q235" s="15"/>
      <c r="R235" s="15" t="s">
        <v>1244</v>
      </c>
      <c r="S235" s="15" t="str">
        <f>HYPERLINK("http://ovopark.oss-cn-hangzhou.aliyuncs.com/1930_13074082865687_image_1600141493576.jpg?x-oss-process=image/resize,w_700,l_700","查看图片")</f>
        <v>查看图片</v>
      </c>
      <c r="T235" s="15" t="str">
        <f>HYPERLINK("http://ovopark.oss-cn-hangzhou.aliyuncs.com/2314_163581192584934_image_1600658548945.jpg","查看图片")</f>
        <v>查看图片</v>
      </c>
      <c r="U235" s="15" t="s">
        <v>15</v>
      </c>
      <c r="V235" s="15" t="s">
        <v>1245</v>
      </c>
      <c r="W235" s="13" t="s">
        <v>137</v>
      </c>
      <c r="X235" s="13" t="s">
        <v>1175</v>
      </c>
    </row>
    <row r="236" customHeight="1" spans="1:24">
      <c r="A236" s="15" t="s">
        <v>1246</v>
      </c>
      <c r="B236" s="15" t="s">
        <v>60</v>
      </c>
      <c r="C236" s="15" t="s">
        <v>337</v>
      </c>
      <c r="D236" s="15" t="s">
        <v>338</v>
      </c>
      <c r="E236" s="15" t="s">
        <v>119</v>
      </c>
      <c r="F236" s="15" t="s">
        <v>89</v>
      </c>
      <c r="G236" s="15" t="s">
        <v>120</v>
      </c>
      <c r="H236" s="15" t="s">
        <v>91</v>
      </c>
      <c r="I236" s="15" t="s">
        <v>92</v>
      </c>
      <c r="J236" s="15" t="s">
        <v>181</v>
      </c>
      <c r="K236" s="16" t="s">
        <v>182</v>
      </c>
      <c r="L236" s="16" t="s">
        <v>1247</v>
      </c>
      <c r="M236" s="16" t="s">
        <v>1248</v>
      </c>
      <c r="N236" s="15" t="s">
        <v>1172</v>
      </c>
      <c r="O236" s="15" t="s">
        <v>98</v>
      </c>
      <c r="P236" s="15" t="s">
        <v>160</v>
      </c>
      <c r="Q236" s="15"/>
      <c r="R236" s="15" t="s">
        <v>1249</v>
      </c>
      <c r="S236" s="15" t="str">
        <f>HYPERLINK("http://ovopark.oss-cn-hangzhou.aliyuncs.com/1930_14353529880408_image_1600142972611.jpg?x-oss-process=image/resize,w_700,l_700","查看图片")</f>
        <v>查看图片</v>
      </c>
      <c r="T236" s="15" t="str">
        <f>HYPERLINK("http://ovopark.oss-cn-hangzhou.aliyuncs.com/2314_163761350887511_image_1600658728503.jpg","查看图片")</f>
        <v>查看图片</v>
      </c>
      <c r="U236" s="15" t="s">
        <v>15</v>
      </c>
      <c r="V236" s="15" t="s">
        <v>1250</v>
      </c>
      <c r="W236" s="13" t="s">
        <v>137</v>
      </c>
      <c r="X236" s="13" t="s">
        <v>1175</v>
      </c>
    </row>
    <row r="237" customHeight="1" spans="1:24">
      <c r="A237" s="15" t="s">
        <v>1251</v>
      </c>
      <c r="B237" s="15" t="s">
        <v>13</v>
      </c>
      <c r="C237" s="15" t="s">
        <v>221</v>
      </c>
      <c r="D237" s="15" t="s">
        <v>222</v>
      </c>
      <c r="E237" s="15" t="s">
        <v>89</v>
      </c>
      <c r="F237" s="15" t="s">
        <v>89</v>
      </c>
      <c r="G237" s="15" t="s">
        <v>120</v>
      </c>
      <c r="H237" s="15" t="s">
        <v>91</v>
      </c>
      <c r="I237" s="15" t="s">
        <v>92</v>
      </c>
      <c r="J237" s="15" t="s">
        <v>155</v>
      </c>
      <c r="K237" s="16" t="s">
        <v>156</v>
      </c>
      <c r="L237" s="16" t="s">
        <v>1252</v>
      </c>
      <c r="M237" s="16" t="s">
        <v>1253</v>
      </c>
      <c r="N237" s="15" t="s">
        <v>1254</v>
      </c>
      <c r="O237" s="15" t="s">
        <v>98</v>
      </c>
      <c r="P237" s="15" t="s">
        <v>186</v>
      </c>
      <c r="Q237" s="15"/>
      <c r="R237" s="15" t="s">
        <v>127</v>
      </c>
      <c r="S237" s="15" t="s">
        <v>114</v>
      </c>
      <c r="T237" s="15" t="str">
        <f>HYPERLINK("http://ovopark.oss-cn-hangzhou.aliyuncs.com/2074_800341665260457_image_1600595929787.jpg","查看图片")</f>
        <v>查看图片</v>
      </c>
      <c r="U237" s="15" t="s">
        <v>7</v>
      </c>
      <c r="V237" s="15" t="s">
        <v>1255</v>
      </c>
      <c r="W237" s="13" t="s">
        <v>102</v>
      </c>
      <c r="X237" s="13" t="s">
        <v>6</v>
      </c>
    </row>
    <row r="238" customHeight="1" spans="1:24">
      <c r="A238" s="15" t="s">
        <v>1256</v>
      </c>
      <c r="B238" s="15" t="s">
        <v>13</v>
      </c>
      <c r="C238" s="15" t="s">
        <v>221</v>
      </c>
      <c r="D238" s="15" t="s">
        <v>222</v>
      </c>
      <c r="E238" s="15" t="s">
        <v>89</v>
      </c>
      <c r="F238" s="15" t="s">
        <v>89</v>
      </c>
      <c r="G238" s="15" t="s">
        <v>120</v>
      </c>
      <c r="H238" s="15" t="s">
        <v>91</v>
      </c>
      <c r="I238" s="15" t="s">
        <v>92</v>
      </c>
      <c r="J238" s="15" t="s">
        <v>155</v>
      </c>
      <c r="K238" s="16" t="s">
        <v>156</v>
      </c>
      <c r="L238" s="16" t="s">
        <v>1257</v>
      </c>
      <c r="M238" s="16" t="s">
        <v>1258</v>
      </c>
      <c r="N238" s="15" t="s">
        <v>1254</v>
      </c>
      <c r="O238" s="15" t="s">
        <v>98</v>
      </c>
      <c r="P238" s="15" t="s">
        <v>186</v>
      </c>
      <c r="Q238" s="15"/>
      <c r="R238" s="15" t="s">
        <v>127</v>
      </c>
      <c r="S238" s="15" t="s">
        <v>114</v>
      </c>
      <c r="T238" s="15" t="str">
        <f>HYPERLINK("http://ovopark.oss-cn-hangzhou.aliyuncs.com/2074_800355288272434_image_1600595943441.jpg","查看图片")</f>
        <v>查看图片</v>
      </c>
      <c r="U238" s="15" t="s">
        <v>7</v>
      </c>
      <c r="V238" s="15" t="s">
        <v>1259</v>
      </c>
      <c r="W238" s="13" t="s">
        <v>102</v>
      </c>
      <c r="X238" s="13" t="s">
        <v>6</v>
      </c>
    </row>
    <row r="239" customHeight="1" spans="1:24">
      <c r="A239" s="15" t="s">
        <v>1260</v>
      </c>
      <c r="B239" s="15" t="s">
        <v>13</v>
      </c>
      <c r="C239" s="15" t="s">
        <v>221</v>
      </c>
      <c r="D239" s="15" t="s">
        <v>222</v>
      </c>
      <c r="E239" s="15" t="s">
        <v>89</v>
      </c>
      <c r="F239" s="15" t="s">
        <v>89</v>
      </c>
      <c r="G239" s="15" t="s">
        <v>120</v>
      </c>
      <c r="H239" s="15" t="s">
        <v>91</v>
      </c>
      <c r="I239" s="15" t="s">
        <v>92</v>
      </c>
      <c r="J239" s="15" t="s">
        <v>155</v>
      </c>
      <c r="K239" s="16" t="s">
        <v>156</v>
      </c>
      <c r="L239" s="16" t="s">
        <v>1261</v>
      </c>
      <c r="M239" s="16" t="s">
        <v>1262</v>
      </c>
      <c r="N239" s="15" t="s">
        <v>1254</v>
      </c>
      <c r="O239" s="15" t="s">
        <v>98</v>
      </c>
      <c r="P239" s="15" t="s">
        <v>186</v>
      </c>
      <c r="Q239" s="15"/>
      <c r="R239" s="15" t="s">
        <v>127</v>
      </c>
      <c r="S239" s="15" t="s">
        <v>114</v>
      </c>
      <c r="T239" s="15" t="str">
        <f>HYPERLINK("http://ovopark.oss-cn-hangzhou.aliyuncs.com/2074_800368395847432_image_1600595956470.jpg","查看图片")</f>
        <v>查看图片</v>
      </c>
      <c r="U239" s="15" t="s">
        <v>7</v>
      </c>
      <c r="V239" s="15" t="s">
        <v>1263</v>
      </c>
      <c r="W239" s="13" t="s">
        <v>102</v>
      </c>
      <c r="X239" s="13" t="s">
        <v>6</v>
      </c>
    </row>
    <row r="240" customHeight="1" spans="1:24">
      <c r="A240" s="15" t="s">
        <v>1264</v>
      </c>
      <c r="B240" s="15" t="s">
        <v>13</v>
      </c>
      <c r="C240" s="15" t="s">
        <v>221</v>
      </c>
      <c r="D240" s="15" t="s">
        <v>222</v>
      </c>
      <c r="E240" s="15" t="s">
        <v>89</v>
      </c>
      <c r="F240" s="15" t="s">
        <v>89</v>
      </c>
      <c r="G240" s="15" t="s">
        <v>120</v>
      </c>
      <c r="H240" s="15" t="s">
        <v>91</v>
      </c>
      <c r="I240" s="15" t="s">
        <v>92</v>
      </c>
      <c r="J240" s="15" t="s">
        <v>155</v>
      </c>
      <c r="K240" s="16" t="s">
        <v>156</v>
      </c>
      <c r="L240" s="16" t="s">
        <v>1265</v>
      </c>
      <c r="M240" s="16" t="s">
        <v>1266</v>
      </c>
      <c r="N240" s="15" t="s">
        <v>1254</v>
      </c>
      <c r="O240" s="15" t="s">
        <v>98</v>
      </c>
      <c r="P240" s="15" t="s">
        <v>186</v>
      </c>
      <c r="Q240" s="15"/>
      <c r="R240" s="15" t="s">
        <v>127</v>
      </c>
      <c r="S240" s="15" t="s">
        <v>114</v>
      </c>
      <c r="T240" s="15" t="str">
        <f>HYPERLINK("http://ovopark.oss-cn-hangzhou.aliyuncs.com/2074_800382852496909_image_1600595970965.jpg","查看图片")</f>
        <v>查看图片</v>
      </c>
      <c r="U240" s="15" t="s">
        <v>7</v>
      </c>
      <c r="V240" s="15" t="s">
        <v>1267</v>
      </c>
      <c r="W240" s="13" t="s">
        <v>102</v>
      </c>
      <c r="X240" s="13" t="s">
        <v>6</v>
      </c>
    </row>
    <row r="241" customHeight="1" spans="1:24">
      <c r="A241" s="15" t="s">
        <v>1268</v>
      </c>
      <c r="B241" s="15" t="s">
        <v>13</v>
      </c>
      <c r="C241" s="15" t="s">
        <v>221</v>
      </c>
      <c r="D241" s="15" t="s">
        <v>222</v>
      </c>
      <c r="E241" s="15" t="s">
        <v>89</v>
      </c>
      <c r="F241" s="15" t="s">
        <v>89</v>
      </c>
      <c r="G241" s="15" t="s">
        <v>120</v>
      </c>
      <c r="H241" s="15" t="s">
        <v>91</v>
      </c>
      <c r="I241" s="15" t="s">
        <v>92</v>
      </c>
      <c r="J241" s="15" t="s">
        <v>155</v>
      </c>
      <c r="K241" s="16" t="s">
        <v>156</v>
      </c>
      <c r="L241" s="16" t="s">
        <v>1269</v>
      </c>
      <c r="M241" s="16" t="s">
        <v>1270</v>
      </c>
      <c r="N241" s="15" t="s">
        <v>1254</v>
      </c>
      <c r="O241" s="15" t="s">
        <v>98</v>
      </c>
      <c r="P241" s="15" t="s">
        <v>186</v>
      </c>
      <c r="Q241" s="15"/>
      <c r="R241" s="15" t="s">
        <v>127</v>
      </c>
      <c r="S241" s="15" t="s">
        <v>114</v>
      </c>
      <c r="T241" s="15" t="str">
        <f>HYPERLINK("http://ovopark.oss-cn-hangzhou.aliyuncs.com/2074_800395350501595_image_1600595983447.jpg","查看图片")</f>
        <v>查看图片</v>
      </c>
      <c r="U241" s="15" t="s">
        <v>7</v>
      </c>
      <c r="V241" s="15" t="s">
        <v>1271</v>
      </c>
      <c r="W241" s="13" t="s">
        <v>102</v>
      </c>
      <c r="X241" s="13" t="s">
        <v>6</v>
      </c>
    </row>
    <row r="242" customHeight="1" spans="1:24">
      <c r="A242" s="15" t="s">
        <v>1272</v>
      </c>
      <c r="B242" s="15" t="s">
        <v>13</v>
      </c>
      <c r="C242" s="15" t="s">
        <v>221</v>
      </c>
      <c r="D242" s="15" t="s">
        <v>222</v>
      </c>
      <c r="E242" s="15" t="s">
        <v>89</v>
      </c>
      <c r="F242" s="15" t="s">
        <v>89</v>
      </c>
      <c r="G242" s="15" t="s">
        <v>120</v>
      </c>
      <c r="H242" s="15" t="s">
        <v>91</v>
      </c>
      <c r="I242" s="15" t="s">
        <v>92</v>
      </c>
      <c r="J242" s="15" t="s">
        <v>155</v>
      </c>
      <c r="K242" s="16" t="s">
        <v>156</v>
      </c>
      <c r="L242" s="16" t="s">
        <v>1273</v>
      </c>
      <c r="M242" s="16" t="s">
        <v>1274</v>
      </c>
      <c r="N242" s="15" t="s">
        <v>1254</v>
      </c>
      <c r="O242" s="15" t="s">
        <v>98</v>
      </c>
      <c r="P242" s="15" t="s">
        <v>186</v>
      </c>
      <c r="Q242" s="15"/>
      <c r="R242" s="15" t="s">
        <v>127</v>
      </c>
      <c r="S242" s="15" t="s">
        <v>114</v>
      </c>
      <c r="T242" s="15" t="str">
        <f>HYPERLINK("http://ovopark.oss-cn-hangzhou.aliyuncs.com/2074_800419415229716_image_1600596007780.jpg","查看图片")</f>
        <v>查看图片</v>
      </c>
      <c r="U242" s="15" t="s">
        <v>7</v>
      </c>
      <c r="V242" s="15" t="s">
        <v>1275</v>
      </c>
      <c r="W242" s="13" t="s">
        <v>102</v>
      </c>
      <c r="X242" s="13" t="s">
        <v>6</v>
      </c>
    </row>
    <row r="243" customHeight="1" spans="1:24">
      <c r="A243" s="15" t="s">
        <v>1276</v>
      </c>
      <c r="B243" s="15" t="s">
        <v>9</v>
      </c>
      <c r="C243" s="15" t="s">
        <v>221</v>
      </c>
      <c r="D243" s="15" t="s">
        <v>222</v>
      </c>
      <c r="E243" s="15" t="s">
        <v>89</v>
      </c>
      <c r="F243" s="15" t="s">
        <v>89</v>
      </c>
      <c r="G243" s="15" t="s">
        <v>120</v>
      </c>
      <c r="H243" s="15" t="s">
        <v>91</v>
      </c>
      <c r="I243" s="15" t="s">
        <v>92</v>
      </c>
      <c r="J243" s="15" t="s">
        <v>155</v>
      </c>
      <c r="K243" s="16" t="s">
        <v>156</v>
      </c>
      <c r="L243" s="16" t="s">
        <v>1277</v>
      </c>
      <c r="M243" s="16" t="s">
        <v>1278</v>
      </c>
      <c r="N243" s="15" t="s">
        <v>1279</v>
      </c>
      <c r="O243" s="15" t="s">
        <v>98</v>
      </c>
      <c r="P243" s="15" t="s">
        <v>186</v>
      </c>
      <c r="Q243" s="15"/>
      <c r="R243" s="15" t="s">
        <v>127</v>
      </c>
      <c r="S243" s="15" t="s">
        <v>114</v>
      </c>
      <c r="T243" s="15" t="str">
        <f>HYPERLINK("http://ovopark.oss-cn-hangzhou.aliyuncs.com/202009202047017971.jpeg","查看图片")</f>
        <v>查看图片</v>
      </c>
      <c r="U243" s="15" t="s">
        <v>7</v>
      </c>
      <c r="V243" s="15" t="s">
        <v>1280</v>
      </c>
      <c r="W243" s="13" t="s">
        <v>102</v>
      </c>
      <c r="X243" s="13" t="s">
        <v>6</v>
      </c>
    </row>
    <row r="244" customHeight="1" spans="1:24">
      <c r="A244" s="15" t="s">
        <v>1281</v>
      </c>
      <c r="B244" s="15" t="s">
        <v>9</v>
      </c>
      <c r="C244" s="15" t="s">
        <v>221</v>
      </c>
      <c r="D244" s="15" t="s">
        <v>222</v>
      </c>
      <c r="E244" s="15" t="s">
        <v>89</v>
      </c>
      <c r="F244" s="15" t="s">
        <v>89</v>
      </c>
      <c r="G244" s="15" t="s">
        <v>120</v>
      </c>
      <c r="H244" s="15" t="s">
        <v>91</v>
      </c>
      <c r="I244" s="15" t="s">
        <v>92</v>
      </c>
      <c r="J244" s="15" t="s">
        <v>155</v>
      </c>
      <c r="K244" s="16" t="s">
        <v>156</v>
      </c>
      <c r="L244" s="16" t="s">
        <v>1282</v>
      </c>
      <c r="M244" s="16" t="s">
        <v>1283</v>
      </c>
      <c r="N244" s="15" t="s">
        <v>1279</v>
      </c>
      <c r="O244" s="15" t="s">
        <v>98</v>
      </c>
      <c r="P244" s="15" t="s">
        <v>186</v>
      </c>
      <c r="Q244" s="15"/>
      <c r="R244" s="15" t="s">
        <v>127</v>
      </c>
      <c r="S244" s="15" t="s">
        <v>114</v>
      </c>
      <c r="T244" s="15" t="str">
        <f>HYPERLINK("http://ovopark.oss-cn-hangzhou.aliyuncs.com/202009202050274848.jpeg","查看图片")</f>
        <v>查看图片</v>
      </c>
      <c r="U244" s="15" t="s">
        <v>7</v>
      </c>
      <c r="V244" s="15" t="s">
        <v>1284</v>
      </c>
      <c r="W244" s="13" t="s">
        <v>102</v>
      </c>
      <c r="X244" s="13" t="s">
        <v>6</v>
      </c>
    </row>
    <row r="245" customHeight="1" spans="1:24">
      <c r="A245" s="15" t="s">
        <v>1285</v>
      </c>
      <c r="B245" s="15" t="s">
        <v>9</v>
      </c>
      <c r="C245" s="15" t="s">
        <v>221</v>
      </c>
      <c r="D245" s="15" t="s">
        <v>222</v>
      </c>
      <c r="E245" s="15" t="s">
        <v>89</v>
      </c>
      <c r="F245" s="15" t="s">
        <v>89</v>
      </c>
      <c r="G245" s="15" t="s">
        <v>120</v>
      </c>
      <c r="H245" s="15" t="s">
        <v>91</v>
      </c>
      <c r="I245" s="15" t="s">
        <v>92</v>
      </c>
      <c r="J245" s="15" t="s">
        <v>155</v>
      </c>
      <c r="K245" s="16" t="s">
        <v>156</v>
      </c>
      <c r="L245" s="16" t="s">
        <v>1286</v>
      </c>
      <c r="M245" s="16" t="s">
        <v>1287</v>
      </c>
      <c r="N245" s="15" t="s">
        <v>1279</v>
      </c>
      <c r="O245" s="15" t="s">
        <v>98</v>
      </c>
      <c r="P245" s="15" t="s">
        <v>186</v>
      </c>
      <c r="Q245" s="15"/>
      <c r="R245" s="15" t="s">
        <v>127</v>
      </c>
      <c r="S245" s="15" t="s">
        <v>114</v>
      </c>
      <c r="T245" s="15" t="str">
        <f>HYPERLINK("http://ovopark.oss-cn-hangzhou.aliyuncs.com/202009202050493088.jpeg","查看图片")</f>
        <v>查看图片</v>
      </c>
      <c r="U245" s="15" t="s">
        <v>7</v>
      </c>
      <c r="V245" s="15" t="s">
        <v>1288</v>
      </c>
      <c r="W245" s="13" t="s">
        <v>102</v>
      </c>
      <c r="X245" s="13" t="s">
        <v>6</v>
      </c>
    </row>
    <row r="246" customHeight="1" spans="1:24">
      <c r="A246" s="15" t="s">
        <v>1289</v>
      </c>
      <c r="B246" s="15" t="s">
        <v>9</v>
      </c>
      <c r="C246" s="15" t="s">
        <v>221</v>
      </c>
      <c r="D246" s="15" t="s">
        <v>222</v>
      </c>
      <c r="E246" s="15" t="s">
        <v>89</v>
      </c>
      <c r="F246" s="15" t="s">
        <v>89</v>
      </c>
      <c r="G246" s="15" t="s">
        <v>120</v>
      </c>
      <c r="H246" s="15" t="s">
        <v>91</v>
      </c>
      <c r="I246" s="15" t="s">
        <v>92</v>
      </c>
      <c r="J246" s="15" t="s">
        <v>155</v>
      </c>
      <c r="K246" s="16" t="s">
        <v>156</v>
      </c>
      <c r="L246" s="16" t="s">
        <v>1290</v>
      </c>
      <c r="M246" s="16" t="s">
        <v>1291</v>
      </c>
      <c r="N246" s="15" t="s">
        <v>1279</v>
      </c>
      <c r="O246" s="15" t="s">
        <v>98</v>
      </c>
      <c r="P246" s="15" t="s">
        <v>186</v>
      </c>
      <c r="Q246" s="15"/>
      <c r="R246" s="15" t="s">
        <v>127</v>
      </c>
      <c r="S246" s="15" t="s">
        <v>114</v>
      </c>
      <c r="T246" s="15" t="str">
        <f>HYPERLINK("http://ovopark.oss-cn-hangzhou.aliyuncs.com/202009202051336177.jpeg","查看图片")</f>
        <v>查看图片</v>
      </c>
      <c r="U246" s="15" t="s">
        <v>7</v>
      </c>
      <c r="V246" s="15" t="s">
        <v>1292</v>
      </c>
      <c r="W246" s="13" t="s">
        <v>102</v>
      </c>
      <c r="X246" s="13" t="s">
        <v>6</v>
      </c>
    </row>
    <row r="247" customHeight="1" spans="1:24">
      <c r="A247" s="15" t="s">
        <v>1293</v>
      </c>
      <c r="B247" s="15" t="s">
        <v>9</v>
      </c>
      <c r="C247" s="15" t="s">
        <v>221</v>
      </c>
      <c r="D247" s="15" t="s">
        <v>222</v>
      </c>
      <c r="E247" s="15" t="s">
        <v>89</v>
      </c>
      <c r="F247" s="15" t="s">
        <v>89</v>
      </c>
      <c r="G247" s="15" t="s">
        <v>120</v>
      </c>
      <c r="H247" s="15" t="s">
        <v>91</v>
      </c>
      <c r="I247" s="15" t="s">
        <v>92</v>
      </c>
      <c r="J247" s="15" t="s">
        <v>155</v>
      </c>
      <c r="K247" s="16" t="s">
        <v>156</v>
      </c>
      <c r="L247" s="16" t="s">
        <v>1294</v>
      </c>
      <c r="M247" s="16" t="s">
        <v>1295</v>
      </c>
      <c r="N247" s="15" t="s">
        <v>1279</v>
      </c>
      <c r="O247" s="15" t="s">
        <v>98</v>
      </c>
      <c r="P247" s="15" t="s">
        <v>186</v>
      </c>
      <c r="Q247" s="15"/>
      <c r="R247" s="15" t="s">
        <v>127</v>
      </c>
      <c r="S247" s="15" t="s">
        <v>114</v>
      </c>
      <c r="T247" s="15" t="str">
        <f>HYPERLINK("http://ovopark.oss-cn-hangzhou.aliyuncs.com/202009202052044198.jpeg","查看图片")</f>
        <v>查看图片</v>
      </c>
      <c r="U247" s="15" t="s">
        <v>7</v>
      </c>
      <c r="V247" s="15" t="s">
        <v>1296</v>
      </c>
      <c r="W247" s="13" t="s">
        <v>102</v>
      </c>
      <c r="X247" s="13" t="s">
        <v>6</v>
      </c>
    </row>
    <row r="248" customHeight="1" spans="1:24">
      <c r="A248" s="15" t="s">
        <v>1297</v>
      </c>
      <c r="B248" s="15" t="s">
        <v>9</v>
      </c>
      <c r="C248" s="15" t="s">
        <v>221</v>
      </c>
      <c r="D248" s="15" t="s">
        <v>222</v>
      </c>
      <c r="E248" s="15" t="s">
        <v>89</v>
      </c>
      <c r="F248" s="15" t="s">
        <v>89</v>
      </c>
      <c r="G248" s="15" t="s">
        <v>120</v>
      </c>
      <c r="H248" s="15" t="s">
        <v>91</v>
      </c>
      <c r="I248" s="15" t="s">
        <v>92</v>
      </c>
      <c r="J248" s="15" t="s">
        <v>155</v>
      </c>
      <c r="K248" s="16" t="s">
        <v>156</v>
      </c>
      <c r="L248" s="16" t="s">
        <v>1298</v>
      </c>
      <c r="M248" s="16" t="s">
        <v>1299</v>
      </c>
      <c r="N248" s="15" t="s">
        <v>1279</v>
      </c>
      <c r="O248" s="15" t="s">
        <v>98</v>
      </c>
      <c r="P248" s="15" t="s">
        <v>186</v>
      </c>
      <c r="Q248" s="15"/>
      <c r="R248" s="15" t="s">
        <v>127</v>
      </c>
      <c r="S248" s="15" t="s">
        <v>114</v>
      </c>
      <c r="T248" s="15" t="str">
        <f>HYPERLINK("http://ovopark.oss-cn-hangzhou.aliyuncs.com/202009202052324838.jpeg","查看图片")</f>
        <v>查看图片</v>
      </c>
      <c r="U248" s="15" t="s">
        <v>7</v>
      </c>
      <c r="V248" s="15" t="s">
        <v>1300</v>
      </c>
      <c r="W248" s="13" t="s">
        <v>102</v>
      </c>
      <c r="X248" s="13" t="s">
        <v>6</v>
      </c>
    </row>
    <row r="249" customHeight="1" spans="1:24">
      <c r="A249" s="15" t="s">
        <v>1301</v>
      </c>
      <c r="B249" s="15" t="s">
        <v>49</v>
      </c>
      <c r="C249" s="15" t="s">
        <v>190</v>
      </c>
      <c r="D249" s="15" t="s">
        <v>191</v>
      </c>
      <c r="E249" s="15" t="s">
        <v>154</v>
      </c>
      <c r="F249" s="15" t="s">
        <v>89</v>
      </c>
      <c r="G249" s="15" t="s">
        <v>120</v>
      </c>
      <c r="H249" s="15" t="s">
        <v>91</v>
      </c>
      <c r="I249" s="15" t="s">
        <v>92</v>
      </c>
      <c r="J249" s="15" t="s">
        <v>265</v>
      </c>
      <c r="K249" s="16" t="s">
        <v>143</v>
      </c>
      <c r="L249" s="16" t="s">
        <v>1302</v>
      </c>
      <c r="M249" s="16" t="s">
        <v>1303</v>
      </c>
      <c r="N249" s="15" t="s">
        <v>1304</v>
      </c>
      <c r="O249" s="15" t="s">
        <v>98</v>
      </c>
      <c r="P249" s="15" t="s">
        <v>160</v>
      </c>
      <c r="Q249" s="15"/>
      <c r="R249" s="15" t="s">
        <v>127</v>
      </c>
      <c r="S249" s="15" t="str">
        <f>HYPERLINK("http://shopweb.tjgdyf.com:8090/snapshot/G_62/D_1588/p_6095/20200913212228.jpg","查看图片")</f>
        <v>查看图片</v>
      </c>
      <c r="T249" s="15" t="str">
        <f>HYPERLINK("http://ovopark.oss-cn-hangzhou.aliyuncs.com/1969_269414700115145_image_1600572592945.jpg","查看图片")</f>
        <v>查看图片</v>
      </c>
      <c r="U249" s="15" t="s">
        <v>7</v>
      </c>
      <c r="V249" s="15" t="s">
        <v>1305</v>
      </c>
      <c r="W249" s="13" t="s">
        <v>137</v>
      </c>
      <c r="X249" s="13" t="s">
        <v>1306</v>
      </c>
    </row>
    <row r="250" customHeight="1" spans="1:24">
      <c r="A250" s="15" t="s">
        <v>1307</v>
      </c>
      <c r="B250" s="15" t="s">
        <v>1308</v>
      </c>
      <c r="C250" s="15" t="s">
        <v>746</v>
      </c>
      <c r="D250" s="15" t="s">
        <v>747</v>
      </c>
      <c r="E250" s="15" t="s">
        <v>119</v>
      </c>
      <c r="F250" s="15" t="s">
        <v>89</v>
      </c>
      <c r="G250" s="15" t="s">
        <v>120</v>
      </c>
      <c r="H250" s="15" t="s">
        <v>91</v>
      </c>
      <c r="I250" s="15" t="s">
        <v>92</v>
      </c>
      <c r="J250" s="15" t="s">
        <v>143</v>
      </c>
      <c r="K250" s="16" t="s">
        <v>144</v>
      </c>
      <c r="L250" s="16" t="s">
        <v>1309</v>
      </c>
      <c r="M250" s="16" t="s">
        <v>1310</v>
      </c>
      <c r="N250" s="15" t="s">
        <v>1311</v>
      </c>
      <c r="O250" s="15" t="s">
        <v>98</v>
      </c>
      <c r="P250" s="15" t="s">
        <v>750</v>
      </c>
      <c r="Q250" s="15"/>
      <c r="R250" s="15" t="s">
        <v>127</v>
      </c>
      <c r="S250" s="15" t="str">
        <f>HYPERLINK("http://shopweb.tjgdyf.com:8090/snapshot/G_62/D_1994/p_19968/00141025bdd0:0_20200916080210_1.jpg","查看图片")</f>
        <v>查看图片</v>
      </c>
      <c r="T250" s="15" t="s">
        <v>114</v>
      </c>
      <c r="U250" s="15" t="s">
        <v>7</v>
      </c>
      <c r="V250" s="15" t="s">
        <v>1312</v>
      </c>
      <c r="W250" s="13" t="s">
        <v>102</v>
      </c>
      <c r="X250" s="15" t="s">
        <v>750</v>
      </c>
    </row>
    <row r="251" customHeight="1" spans="1:24">
      <c r="A251" s="15" t="s">
        <v>1313</v>
      </c>
      <c r="B251" s="15" t="s">
        <v>11</v>
      </c>
      <c r="C251" s="15" t="s">
        <v>746</v>
      </c>
      <c r="D251" s="15" t="s">
        <v>747</v>
      </c>
      <c r="E251" s="15" t="s">
        <v>119</v>
      </c>
      <c r="F251" s="15" t="s">
        <v>89</v>
      </c>
      <c r="G251" s="15" t="s">
        <v>120</v>
      </c>
      <c r="H251" s="15" t="s">
        <v>91</v>
      </c>
      <c r="I251" s="15" t="s">
        <v>92</v>
      </c>
      <c r="J251" s="15" t="s">
        <v>265</v>
      </c>
      <c r="K251" s="16" t="s">
        <v>143</v>
      </c>
      <c r="L251" s="16" t="s">
        <v>1314</v>
      </c>
      <c r="M251" s="16" t="s">
        <v>1315</v>
      </c>
      <c r="N251" s="15" t="s">
        <v>1316</v>
      </c>
      <c r="O251" s="15" t="s">
        <v>98</v>
      </c>
      <c r="P251" s="15" t="s">
        <v>750</v>
      </c>
      <c r="Q251" s="15"/>
      <c r="R251" s="15" t="s">
        <v>127</v>
      </c>
      <c r="S251" s="15" t="str">
        <f>HYPERLINK("http://shopweb.tjgdyf.com:8090/snapshot/G_62/D_1302/p_283/001410177b69_20200913080209_1.jpg","查看图片")</f>
        <v>查看图片</v>
      </c>
      <c r="T251" s="15" t="s">
        <v>114</v>
      </c>
      <c r="U251" s="15" t="s">
        <v>7</v>
      </c>
      <c r="V251" s="15" t="s">
        <v>1317</v>
      </c>
      <c r="W251" s="13" t="s">
        <v>137</v>
      </c>
      <c r="X251" s="15" t="s">
        <v>1318</v>
      </c>
    </row>
    <row r="252" customHeight="1" spans="1:24">
      <c r="A252" s="15" t="s">
        <v>1319</v>
      </c>
      <c r="B252" s="15" t="s">
        <v>12</v>
      </c>
      <c r="C252" s="15" t="s">
        <v>190</v>
      </c>
      <c r="D252" s="15" t="s">
        <v>191</v>
      </c>
      <c r="E252" s="15" t="s">
        <v>154</v>
      </c>
      <c r="F252" s="15" t="s">
        <v>89</v>
      </c>
      <c r="G252" s="15" t="s">
        <v>120</v>
      </c>
      <c r="H252" s="15" t="s">
        <v>91</v>
      </c>
      <c r="I252" s="15" t="s">
        <v>92</v>
      </c>
      <c r="J252" s="15" t="s">
        <v>264</v>
      </c>
      <c r="K252" s="16" t="s">
        <v>265</v>
      </c>
      <c r="L252" s="16" t="s">
        <v>1320</v>
      </c>
      <c r="M252" s="16" t="s">
        <v>1321</v>
      </c>
      <c r="N252" s="15" t="s">
        <v>1322</v>
      </c>
      <c r="O252" s="15" t="s">
        <v>98</v>
      </c>
      <c r="P252" s="15" t="s">
        <v>186</v>
      </c>
      <c r="Q252" s="15"/>
      <c r="R252" s="15" t="s">
        <v>127</v>
      </c>
      <c r="S252" s="15" t="str">
        <f>HYPERLINK("http://shopweb.tjgdyf.com:8090/snapshot/G_62/D_1362/p_1665/20200910144009.jpg","查看图片")</f>
        <v>查看图片</v>
      </c>
      <c r="T252" s="15" t="str">
        <f>HYPERLINK("http://ovopark.oss-cn-hangzhou.aliyuncs.com/202009200917107297.jpeg","查看图片")</f>
        <v>查看图片</v>
      </c>
      <c r="U252" s="15" t="s">
        <v>7</v>
      </c>
      <c r="V252" s="15" t="s">
        <v>1323</v>
      </c>
      <c r="W252" s="13" t="s">
        <v>137</v>
      </c>
      <c r="X252" s="13" t="s">
        <v>1324</v>
      </c>
    </row>
    <row r="253" customHeight="1" spans="1:24">
      <c r="A253" s="15" t="s">
        <v>1325</v>
      </c>
      <c r="B253" s="15" t="s">
        <v>12</v>
      </c>
      <c r="C253" s="15" t="s">
        <v>190</v>
      </c>
      <c r="D253" s="15" t="s">
        <v>191</v>
      </c>
      <c r="E253" s="15" t="s">
        <v>154</v>
      </c>
      <c r="F253" s="15" t="s">
        <v>89</v>
      </c>
      <c r="G253" s="15" t="s">
        <v>120</v>
      </c>
      <c r="H253" s="15" t="s">
        <v>91</v>
      </c>
      <c r="I253" s="15" t="s">
        <v>92</v>
      </c>
      <c r="J253" s="15" t="s">
        <v>264</v>
      </c>
      <c r="K253" s="16" t="s">
        <v>265</v>
      </c>
      <c r="L253" s="16" t="s">
        <v>1326</v>
      </c>
      <c r="M253" s="16" t="s">
        <v>1327</v>
      </c>
      <c r="N253" s="15" t="s">
        <v>1322</v>
      </c>
      <c r="O253" s="15" t="s">
        <v>98</v>
      </c>
      <c r="P253" s="15" t="s">
        <v>186</v>
      </c>
      <c r="Q253" s="15"/>
      <c r="R253" s="15" t="s">
        <v>1328</v>
      </c>
      <c r="S253" s="15" t="str">
        <f>HYPERLINK("http://shopweb.tjgdyf.com:8090/snapshot/G_62/D_1362/p_1666/20200910143749.jpg","查看图片")</f>
        <v>查看图片</v>
      </c>
      <c r="T253" s="15" t="str">
        <f>HYPERLINK("http://ovopark.oss-cn-hangzhou.aliyuncs.com/202009200921559348.jpeg","查看图片")</f>
        <v>查看图片</v>
      </c>
      <c r="U253" s="15" t="s">
        <v>7</v>
      </c>
      <c r="V253" s="15" t="s">
        <v>1329</v>
      </c>
      <c r="W253" s="13" t="s">
        <v>137</v>
      </c>
      <c r="X253" s="13" t="s">
        <v>1324</v>
      </c>
    </row>
    <row r="254" customHeight="1" spans="1:24">
      <c r="A254" s="15" t="s">
        <v>1330</v>
      </c>
      <c r="B254" s="15" t="s">
        <v>11</v>
      </c>
      <c r="C254" s="15" t="s">
        <v>190</v>
      </c>
      <c r="D254" s="15" t="s">
        <v>191</v>
      </c>
      <c r="E254" s="15" t="s">
        <v>154</v>
      </c>
      <c r="F254" s="15" t="s">
        <v>89</v>
      </c>
      <c r="G254" s="15" t="s">
        <v>120</v>
      </c>
      <c r="H254" s="15" t="s">
        <v>91</v>
      </c>
      <c r="I254" s="15" t="s">
        <v>92</v>
      </c>
      <c r="J254" s="15" t="s">
        <v>181</v>
      </c>
      <c r="K254" s="16" t="s">
        <v>182</v>
      </c>
      <c r="L254" s="16" t="s">
        <v>1331</v>
      </c>
      <c r="M254" s="16" t="s">
        <v>1332</v>
      </c>
      <c r="N254" s="15" t="s">
        <v>1316</v>
      </c>
      <c r="O254" s="15" t="s">
        <v>98</v>
      </c>
      <c r="P254" s="15" t="s">
        <v>186</v>
      </c>
      <c r="Q254" s="15"/>
      <c r="R254" s="15" t="s">
        <v>810</v>
      </c>
      <c r="S254" s="15" t="str">
        <f>HYPERLINK("http://shopweb.tjgdyf.com:8090/snapshot/G_62/D_1302/p_969/20200915145920.jpg","查看图片")</f>
        <v>查看图片</v>
      </c>
      <c r="T254" s="15" t="str">
        <f>HYPERLINK("http://ovopark.oss-cn-hangzhou.aliyuncs.com/202009191715021529.jpeg","查看图片")</f>
        <v>查看图片</v>
      </c>
      <c r="U254" s="15" t="s">
        <v>7</v>
      </c>
      <c r="V254" s="15" t="s">
        <v>1333</v>
      </c>
      <c r="W254" s="13" t="s">
        <v>137</v>
      </c>
      <c r="X254" s="13" t="s">
        <v>1318</v>
      </c>
    </row>
    <row r="255" customHeight="1" spans="1:24">
      <c r="A255" s="15" t="s">
        <v>1334</v>
      </c>
      <c r="B255" s="15" t="s">
        <v>11</v>
      </c>
      <c r="C255" s="15" t="s">
        <v>190</v>
      </c>
      <c r="D255" s="15" t="s">
        <v>191</v>
      </c>
      <c r="E255" s="15" t="s">
        <v>154</v>
      </c>
      <c r="F255" s="15" t="s">
        <v>89</v>
      </c>
      <c r="G255" s="15" t="s">
        <v>120</v>
      </c>
      <c r="H255" s="15" t="s">
        <v>91</v>
      </c>
      <c r="I255" s="15" t="s">
        <v>92</v>
      </c>
      <c r="J255" s="15" t="s">
        <v>181</v>
      </c>
      <c r="K255" s="16" t="s">
        <v>182</v>
      </c>
      <c r="L255" s="16" t="s">
        <v>1335</v>
      </c>
      <c r="M255" s="16" t="s">
        <v>1336</v>
      </c>
      <c r="N255" s="15" t="s">
        <v>1316</v>
      </c>
      <c r="O255" s="15" t="s">
        <v>98</v>
      </c>
      <c r="P255" s="15" t="s">
        <v>186</v>
      </c>
      <c r="Q255" s="15"/>
      <c r="R255" s="15" t="s">
        <v>810</v>
      </c>
      <c r="S255" s="15" t="str">
        <f>HYPERLINK("http://shopweb.tjgdyf.com:8090/snapshot/G_62/D_1302/p_965/20200915145829.jpg","查看图片")</f>
        <v>查看图片</v>
      </c>
      <c r="T255" s="15" t="str">
        <f>HYPERLINK("http://ovopark.oss-cn-hangzhou.aliyuncs.com/202009191717517572.jpeg","查看图片")</f>
        <v>查看图片</v>
      </c>
      <c r="U255" s="15" t="s">
        <v>7</v>
      </c>
      <c r="V255" s="15" t="s">
        <v>1337</v>
      </c>
      <c r="W255" s="13" t="s">
        <v>137</v>
      </c>
      <c r="X255" s="13" t="s">
        <v>1318</v>
      </c>
    </row>
    <row r="256" customHeight="1" spans="1:24">
      <c r="A256" s="15" t="s">
        <v>1338</v>
      </c>
      <c r="B256" s="15" t="s">
        <v>11</v>
      </c>
      <c r="C256" s="15" t="s">
        <v>190</v>
      </c>
      <c r="D256" s="15" t="s">
        <v>191</v>
      </c>
      <c r="E256" s="15" t="s">
        <v>154</v>
      </c>
      <c r="F256" s="15" t="s">
        <v>89</v>
      </c>
      <c r="G256" s="15" t="s">
        <v>120</v>
      </c>
      <c r="H256" s="15" t="s">
        <v>91</v>
      </c>
      <c r="I256" s="15" t="s">
        <v>92</v>
      </c>
      <c r="J256" s="15" t="s">
        <v>181</v>
      </c>
      <c r="K256" s="16" t="s">
        <v>182</v>
      </c>
      <c r="L256" s="16" t="s">
        <v>1339</v>
      </c>
      <c r="M256" s="16" t="s">
        <v>1340</v>
      </c>
      <c r="N256" s="15" t="s">
        <v>1316</v>
      </c>
      <c r="O256" s="15" t="s">
        <v>98</v>
      </c>
      <c r="P256" s="15" t="s">
        <v>186</v>
      </c>
      <c r="Q256" s="15"/>
      <c r="R256" s="15" t="s">
        <v>810</v>
      </c>
      <c r="S256" s="15" t="str">
        <f>HYPERLINK("http://shopweb.tjgdyf.com:8090/snapshot/G_62/D_1302/p_454/20200915145801.jpg","查看图片")</f>
        <v>查看图片</v>
      </c>
      <c r="T256" s="15" t="str">
        <f>HYPERLINK("http://ovopark.oss-cn-hangzhou.aliyuncs.com/202009191718215283.jpeg","查看图片")</f>
        <v>查看图片</v>
      </c>
      <c r="U256" s="15" t="s">
        <v>7</v>
      </c>
      <c r="V256" s="15" t="s">
        <v>1341</v>
      </c>
      <c r="W256" s="13" t="s">
        <v>137</v>
      </c>
      <c r="X256" s="13" t="s">
        <v>1318</v>
      </c>
    </row>
    <row r="257" customHeight="1" spans="1:24">
      <c r="A257" s="15" t="s">
        <v>1342</v>
      </c>
      <c r="B257" s="15" t="s">
        <v>11</v>
      </c>
      <c r="C257" s="15" t="s">
        <v>190</v>
      </c>
      <c r="D257" s="15" t="s">
        <v>191</v>
      </c>
      <c r="E257" s="15" t="s">
        <v>154</v>
      </c>
      <c r="F257" s="15" t="s">
        <v>89</v>
      </c>
      <c r="G257" s="15" t="s">
        <v>120</v>
      </c>
      <c r="H257" s="15" t="s">
        <v>91</v>
      </c>
      <c r="I257" s="15" t="s">
        <v>92</v>
      </c>
      <c r="J257" s="15" t="s">
        <v>181</v>
      </c>
      <c r="K257" s="16" t="s">
        <v>182</v>
      </c>
      <c r="L257" s="16" t="s">
        <v>1343</v>
      </c>
      <c r="M257" s="16" t="s">
        <v>1344</v>
      </c>
      <c r="N257" s="15" t="s">
        <v>1316</v>
      </c>
      <c r="O257" s="15" t="s">
        <v>98</v>
      </c>
      <c r="P257" s="15" t="s">
        <v>186</v>
      </c>
      <c r="Q257" s="15"/>
      <c r="R257" s="15" t="s">
        <v>810</v>
      </c>
      <c r="S257" s="15" t="str">
        <f>HYPERLINK("http://shopweb.tjgdyf.com:8090/snapshot/G_62/D_1302/p_459/20200915145654.jpg","查看图片")</f>
        <v>查看图片</v>
      </c>
      <c r="T257" s="15" t="str">
        <f>HYPERLINK("http://ovopark.oss-cn-hangzhou.aliyuncs.com/20200919171939102.jpeg","查看图片")</f>
        <v>查看图片</v>
      </c>
      <c r="U257" s="15" t="s">
        <v>7</v>
      </c>
      <c r="V257" s="15" t="s">
        <v>1345</v>
      </c>
      <c r="W257" s="13" t="s">
        <v>137</v>
      </c>
      <c r="X257" s="13" t="s">
        <v>1318</v>
      </c>
    </row>
    <row r="258" customHeight="1" spans="1:24">
      <c r="A258" s="15" t="s">
        <v>1346</v>
      </c>
      <c r="B258" s="15" t="s">
        <v>37</v>
      </c>
      <c r="C258" s="15" t="s">
        <v>221</v>
      </c>
      <c r="D258" s="15" t="s">
        <v>222</v>
      </c>
      <c r="E258" s="15" t="s">
        <v>89</v>
      </c>
      <c r="F258" s="15" t="s">
        <v>89</v>
      </c>
      <c r="G258" s="15" t="s">
        <v>120</v>
      </c>
      <c r="H258" s="15" t="s">
        <v>91</v>
      </c>
      <c r="I258" s="15" t="s">
        <v>92</v>
      </c>
      <c r="J258" s="15" t="s">
        <v>170</v>
      </c>
      <c r="K258" s="16" t="s">
        <v>181</v>
      </c>
      <c r="L258" s="16" t="s">
        <v>1347</v>
      </c>
      <c r="M258" s="16" t="s">
        <v>1348</v>
      </c>
      <c r="N258" s="15" t="s">
        <v>1014</v>
      </c>
      <c r="O258" s="15" t="s">
        <v>98</v>
      </c>
      <c r="P258" s="15" t="s">
        <v>351</v>
      </c>
      <c r="Q258" s="15"/>
      <c r="R258" s="15" t="s">
        <v>127</v>
      </c>
      <c r="S258" s="15" t="s">
        <v>114</v>
      </c>
      <c r="T258" s="15" t="s">
        <v>114</v>
      </c>
      <c r="U258" s="15" t="s">
        <v>7</v>
      </c>
      <c r="V258" s="15" t="s">
        <v>1349</v>
      </c>
      <c r="W258" s="13" t="s">
        <v>137</v>
      </c>
      <c r="X258" s="13" t="s">
        <v>1350</v>
      </c>
    </row>
    <row r="259" customHeight="1" spans="1:24">
      <c r="A259" s="15" t="s">
        <v>1351</v>
      </c>
      <c r="B259" s="15" t="s">
        <v>37</v>
      </c>
      <c r="C259" s="15" t="s">
        <v>221</v>
      </c>
      <c r="D259" s="15" t="s">
        <v>222</v>
      </c>
      <c r="E259" s="15" t="s">
        <v>89</v>
      </c>
      <c r="F259" s="15" t="s">
        <v>89</v>
      </c>
      <c r="G259" s="15" t="s">
        <v>120</v>
      </c>
      <c r="H259" s="15" t="s">
        <v>91</v>
      </c>
      <c r="I259" s="15" t="s">
        <v>92</v>
      </c>
      <c r="J259" s="15" t="s">
        <v>170</v>
      </c>
      <c r="K259" s="16" t="s">
        <v>181</v>
      </c>
      <c r="L259" s="16" t="s">
        <v>1352</v>
      </c>
      <c r="M259" s="16" t="s">
        <v>1353</v>
      </c>
      <c r="N259" s="15" t="s">
        <v>1014</v>
      </c>
      <c r="O259" s="15" t="s">
        <v>98</v>
      </c>
      <c r="P259" s="15" t="s">
        <v>351</v>
      </c>
      <c r="Q259" s="15"/>
      <c r="R259" s="15" t="s">
        <v>127</v>
      </c>
      <c r="S259" s="15" t="s">
        <v>114</v>
      </c>
      <c r="T259" s="15" t="s">
        <v>114</v>
      </c>
      <c r="U259" s="15" t="s">
        <v>7</v>
      </c>
      <c r="V259" s="15" t="s">
        <v>1354</v>
      </c>
      <c r="W259" s="13" t="s">
        <v>137</v>
      </c>
      <c r="X259" s="13" t="s">
        <v>1350</v>
      </c>
    </row>
    <row r="260" customHeight="1" spans="1:24">
      <c r="A260" s="15" t="s">
        <v>1355</v>
      </c>
      <c r="B260" s="15" t="s">
        <v>37</v>
      </c>
      <c r="C260" s="15" t="s">
        <v>221</v>
      </c>
      <c r="D260" s="15" t="s">
        <v>222</v>
      </c>
      <c r="E260" s="15" t="s">
        <v>89</v>
      </c>
      <c r="F260" s="15" t="s">
        <v>89</v>
      </c>
      <c r="G260" s="15" t="s">
        <v>120</v>
      </c>
      <c r="H260" s="15" t="s">
        <v>91</v>
      </c>
      <c r="I260" s="15" t="s">
        <v>92</v>
      </c>
      <c r="J260" s="15" t="s">
        <v>170</v>
      </c>
      <c r="K260" s="16" t="s">
        <v>181</v>
      </c>
      <c r="L260" s="16" t="s">
        <v>1356</v>
      </c>
      <c r="M260" s="16" t="s">
        <v>1357</v>
      </c>
      <c r="N260" s="15" t="s">
        <v>1014</v>
      </c>
      <c r="O260" s="15" t="s">
        <v>98</v>
      </c>
      <c r="P260" s="15" t="s">
        <v>351</v>
      </c>
      <c r="Q260" s="15"/>
      <c r="R260" s="15" t="s">
        <v>127</v>
      </c>
      <c r="S260" s="15" t="s">
        <v>114</v>
      </c>
      <c r="T260" s="15" t="s">
        <v>114</v>
      </c>
      <c r="U260" s="15" t="s">
        <v>7</v>
      </c>
      <c r="V260" s="15" t="s">
        <v>1358</v>
      </c>
      <c r="W260" s="13" t="s">
        <v>137</v>
      </c>
      <c r="X260" s="13" t="s">
        <v>1350</v>
      </c>
    </row>
    <row r="261" customHeight="1" spans="1:24">
      <c r="A261" s="15" t="s">
        <v>1359</v>
      </c>
      <c r="B261" s="15" t="s">
        <v>37</v>
      </c>
      <c r="C261" s="15" t="s">
        <v>221</v>
      </c>
      <c r="D261" s="15" t="s">
        <v>222</v>
      </c>
      <c r="E261" s="15" t="s">
        <v>89</v>
      </c>
      <c r="F261" s="15" t="s">
        <v>89</v>
      </c>
      <c r="G261" s="15" t="s">
        <v>120</v>
      </c>
      <c r="H261" s="15" t="s">
        <v>91</v>
      </c>
      <c r="I261" s="15" t="s">
        <v>92</v>
      </c>
      <c r="J261" s="15" t="s">
        <v>170</v>
      </c>
      <c r="K261" s="16" t="s">
        <v>181</v>
      </c>
      <c r="L261" s="16" t="s">
        <v>1360</v>
      </c>
      <c r="M261" s="16" t="s">
        <v>1361</v>
      </c>
      <c r="N261" s="15" t="s">
        <v>1014</v>
      </c>
      <c r="O261" s="15" t="s">
        <v>98</v>
      </c>
      <c r="P261" s="15" t="s">
        <v>351</v>
      </c>
      <c r="Q261" s="15"/>
      <c r="R261" s="15" t="s">
        <v>127</v>
      </c>
      <c r="S261" s="15" t="s">
        <v>114</v>
      </c>
      <c r="T261" s="15" t="s">
        <v>114</v>
      </c>
      <c r="U261" s="15" t="s">
        <v>7</v>
      </c>
      <c r="V261" s="15" t="s">
        <v>1362</v>
      </c>
      <c r="W261" s="13" t="s">
        <v>137</v>
      </c>
      <c r="X261" s="13" t="s">
        <v>1350</v>
      </c>
    </row>
    <row r="262" customHeight="1" spans="1:24">
      <c r="A262" s="15" t="s">
        <v>1363</v>
      </c>
      <c r="B262" s="15" t="s">
        <v>37</v>
      </c>
      <c r="C262" s="15" t="s">
        <v>221</v>
      </c>
      <c r="D262" s="15" t="s">
        <v>222</v>
      </c>
      <c r="E262" s="15" t="s">
        <v>89</v>
      </c>
      <c r="F262" s="15" t="s">
        <v>89</v>
      </c>
      <c r="G262" s="15" t="s">
        <v>120</v>
      </c>
      <c r="H262" s="15" t="s">
        <v>91</v>
      </c>
      <c r="I262" s="15" t="s">
        <v>92</v>
      </c>
      <c r="J262" s="15" t="s">
        <v>170</v>
      </c>
      <c r="K262" s="16" t="s">
        <v>181</v>
      </c>
      <c r="L262" s="16" t="s">
        <v>1364</v>
      </c>
      <c r="M262" s="16" t="s">
        <v>1365</v>
      </c>
      <c r="N262" s="15" t="s">
        <v>1014</v>
      </c>
      <c r="O262" s="15" t="s">
        <v>98</v>
      </c>
      <c r="P262" s="15" t="s">
        <v>351</v>
      </c>
      <c r="Q262" s="15"/>
      <c r="R262" s="15" t="s">
        <v>127</v>
      </c>
      <c r="S262" s="15" t="s">
        <v>114</v>
      </c>
      <c r="T262" s="15" t="s">
        <v>114</v>
      </c>
      <c r="U262" s="15" t="s">
        <v>7</v>
      </c>
      <c r="V262" s="15" t="s">
        <v>1366</v>
      </c>
      <c r="W262" s="13" t="s">
        <v>137</v>
      </c>
      <c r="X262" s="13" t="s">
        <v>1350</v>
      </c>
    </row>
    <row r="263" customHeight="1" spans="1:24">
      <c r="A263" s="15" t="s">
        <v>1367</v>
      </c>
      <c r="B263" s="15" t="s">
        <v>37</v>
      </c>
      <c r="C263" s="15" t="s">
        <v>221</v>
      </c>
      <c r="D263" s="15" t="s">
        <v>222</v>
      </c>
      <c r="E263" s="15" t="s">
        <v>89</v>
      </c>
      <c r="F263" s="15" t="s">
        <v>89</v>
      </c>
      <c r="G263" s="15" t="s">
        <v>120</v>
      </c>
      <c r="H263" s="15" t="s">
        <v>91</v>
      </c>
      <c r="I263" s="15" t="s">
        <v>92</v>
      </c>
      <c r="J263" s="15" t="s">
        <v>170</v>
      </c>
      <c r="K263" s="16" t="s">
        <v>181</v>
      </c>
      <c r="L263" s="16" t="s">
        <v>1368</v>
      </c>
      <c r="M263" s="16" t="s">
        <v>1369</v>
      </c>
      <c r="N263" s="15" t="s">
        <v>1014</v>
      </c>
      <c r="O263" s="15" t="s">
        <v>98</v>
      </c>
      <c r="P263" s="15" t="s">
        <v>351</v>
      </c>
      <c r="Q263" s="15"/>
      <c r="R263" s="15" t="s">
        <v>127</v>
      </c>
      <c r="S263" s="15" t="s">
        <v>114</v>
      </c>
      <c r="T263" s="15" t="s">
        <v>114</v>
      </c>
      <c r="U263" s="15" t="s">
        <v>7</v>
      </c>
      <c r="V263" s="15" t="s">
        <v>1370</v>
      </c>
      <c r="W263" s="13" t="s">
        <v>137</v>
      </c>
      <c r="X263" s="13" t="s">
        <v>1350</v>
      </c>
    </row>
    <row r="264" customHeight="1" spans="1:24">
      <c r="A264" s="15" t="s">
        <v>1371</v>
      </c>
      <c r="B264" s="15" t="s">
        <v>35</v>
      </c>
      <c r="C264" s="15" t="s">
        <v>221</v>
      </c>
      <c r="D264" s="15" t="s">
        <v>222</v>
      </c>
      <c r="E264" s="15" t="s">
        <v>89</v>
      </c>
      <c r="F264" s="15" t="s">
        <v>89</v>
      </c>
      <c r="G264" s="15" t="s">
        <v>120</v>
      </c>
      <c r="H264" s="15" t="s">
        <v>91</v>
      </c>
      <c r="I264" s="15" t="s">
        <v>92</v>
      </c>
      <c r="J264" s="15" t="s">
        <v>170</v>
      </c>
      <c r="K264" s="16" t="s">
        <v>181</v>
      </c>
      <c r="L264" s="16" t="s">
        <v>1372</v>
      </c>
      <c r="M264" s="16" t="s">
        <v>1373</v>
      </c>
      <c r="N264" s="15" t="s">
        <v>1064</v>
      </c>
      <c r="O264" s="15" t="s">
        <v>98</v>
      </c>
      <c r="P264" s="15" t="s">
        <v>351</v>
      </c>
      <c r="Q264" s="15"/>
      <c r="R264" s="15" t="s">
        <v>127</v>
      </c>
      <c r="S264" s="15" t="s">
        <v>114</v>
      </c>
      <c r="T264" s="15" t="s">
        <v>114</v>
      </c>
      <c r="U264" s="15" t="s">
        <v>7</v>
      </c>
      <c r="V264" s="15" t="s">
        <v>1374</v>
      </c>
      <c r="W264" s="13" t="s">
        <v>137</v>
      </c>
      <c r="X264" s="13" t="s">
        <v>1375</v>
      </c>
    </row>
    <row r="265" customHeight="1" spans="1:24">
      <c r="A265" s="15" t="s">
        <v>1376</v>
      </c>
      <c r="B265" s="15" t="s">
        <v>35</v>
      </c>
      <c r="C265" s="15" t="s">
        <v>221</v>
      </c>
      <c r="D265" s="15" t="s">
        <v>222</v>
      </c>
      <c r="E265" s="15" t="s">
        <v>89</v>
      </c>
      <c r="F265" s="15" t="s">
        <v>89</v>
      </c>
      <c r="G265" s="15" t="s">
        <v>120</v>
      </c>
      <c r="H265" s="15" t="s">
        <v>91</v>
      </c>
      <c r="I265" s="15" t="s">
        <v>92</v>
      </c>
      <c r="J265" s="15" t="s">
        <v>170</v>
      </c>
      <c r="K265" s="16" t="s">
        <v>181</v>
      </c>
      <c r="L265" s="16" t="s">
        <v>1377</v>
      </c>
      <c r="M265" s="16" t="s">
        <v>1378</v>
      </c>
      <c r="N265" s="15" t="s">
        <v>1064</v>
      </c>
      <c r="O265" s="15" t="s">
        <v>98</v>
      </c>
      <c r="P265" s="15" t="s">
        <v>351</v>
      </c>
      <c r="Q265" s="15"/>
      <c r="R265" s="15" t="s">
        <v>127</v>
      </c>
      <c r="S265" s="15" t="s">
        <v>114</v>
      </c>
      <c r="T265" s="15" t="s">
        <v>114</v>
      </c>
      <c r="U265" s="15" t="s">
        <v>7</v>
      </c>
      <c r="V265" s="15" t="s">
        <v>1379</v>
      </c>
      <c r="W265" s="13" t="s">
        <v>137</v>
      </c>
      <c r="X265" s="13" t="s">
        <v>1375</v>
      </c>
    </row>
    <row r="266" customHeight="1" spans="1:24">
      <c r="A266" s="15" t="s">
        <v>1380</v>
      </c>
      <c r="B266" s="15" t="s">
        <v>35</v>
      </c>
      <c r="C266" s="15" t="s">
        <v>221</v>
      </c>
      <c r="D266" s="15" t="s">
        <v>222</v>
      </c>
      <c r="E266" s="15" t="s">
        <v>89</v>
      </c>
      <c r="F266" s="15" t="s">
        <v>89</v>
      </c>
      <c r="G266" s="15" t="s">
        <v>120</v>
      </c>
      <c r="H266" s="15" t="s">
        <v>91</v>
      </c>
      <c r="I266" s="15" t="s">
        <v>92</v>
      </c>
      <c r="J266" s="15" t="s">
        <v>170</v>
      </c>
      <c r="K266" s="16" t="s">
        <v>181</v>
      </c>
      <c r="L266" s="16" t="s">
        <v>1381</v>
      </c>
      <c r="M266" s="16" t="s">
        <v>1382</v>
      </c>
      <c r="N266" s="15" t="s">
        <v>1064</v>
      </c>
      <c r="O266" s="15" t="s">
        <v>98</v>
      </c>
      <c r="P266" s="15" t="s">
        <v>351</v>
      </c>
      <c r="Q266" s="15"/>
      <c r="R266" s="15" t="s">
        <v>127</v>
      </c>
      <c r="S266" s="15" t="s">
        <v>114</v>
      </c>
      <c r="T266" s="15" t="s">
        <v>114</v>
      </c>
      <c r="U266" s="15" t="s">
        <v>7</v>
      </c>
      <c r="V266" s="15" t="s">
        <v>1383</v>
      </c>
      <c r="W266" s="13" t="s">
        <v>137</v>
      </c>
      <c r="X266" s="13" t="s">
        <v>1375</v>
      </c>
    </row>
    <row r="267" customHeight="1" spans="1:24">
      <c r="A267" s="15" t="s">
        <v>1384</v>
      </c>
      <c r="B267" s="15" t="s">
        <v>35</v>
      </c>
      <c r="C267" s="15" t="s">
        <v>221</v>
      </c>
      <c r="D267" s="15" t="s">
        <v>222</v>
      </c>
      <c r="E267" s="15" t="s">
        <v>89</v>
      </c>
      <c r="F267" s="15" t="s">
        <v>89</v>
      </c>
      <c r="G267" s="15" t="s">
        <v>120</v>
      </c>
      <c r="H267" s="15" t="s">
        <v>91</v>
      </c>
      <c r="I267" s="15" t="s">
        <v>92</v>
      </c>
      <c r="J267" s="15" t="s">
        <v>170</v>
      </c>
      <c r="K267" s="16" t="s">
        <v>181</v>
      </c>
      <c r="L267" s="16" t="s">
        <v>1385</v>
      </c>
      <c r="M267" s="16" t="s">
        <v>1386</v>
      </c>
      <c r="N267" s="15" t="s">
        <v>1064</v>
      </c>
      <c r="O267" s="15" t="s">
        <v>98</v>
      </c>
      <c r="P267" s="15" t="s">
        <v>351</v>
      </c>
      <c r="Q267" s="15"/>
      <c r="R267" s="15" t="s">
        <v>127</v>
      </c>
      <c r="S267" s="15" t="s">
        <v>114</v>
      </c>
      <c r="T267" s="15" t="s">
        <v>114</v>
      </c>
      <c r="U267" s="15" t="s">
        <v>7</v>
      </c>
      <c r="V267" s="15" t="s">
        <v>1387</v>
      </c>
      <c r="W267" s="13" t="s">
        <v>137</v>
      </c>
      <c r="X267" s="13" t="s">
        <v>1375</v>
      </c>
    </row>
    <row r="268" customHeight="1" spans="1:24">
      <c r="A268" s="15" t="s">
        <v>1388</v>
      </c>
      <c r="B268" s="15" t="s">
        <v>35</v>
      </c>
      <c r="C268" s="15" t="s">
        <v>221</v>
      </c>
      <c r="D268" s="15" t="s">
        <v>222</v>
      </c>
      <c r="E268" s="15" t="s">
        <v>89</v>
      </c>
      <c r="F268" s="15" t="s">
        <v>89</v>
      </c>
      <c r="G268" s="15" t="s">
        <v>120</v>
      </c>
      <c r="H268" s="15" t="s">
        <v>91</v>
      </c>
      <c r="I268" s="15" t="s">
        <v>92</v>
      </c>
      <c r="J268" s="15" t="s">
        <v>170</v>
      </c>
      <c r="K268" s="16" t="s">
        <v>181</v>
      </c>
      <c r="L268" s="16" t="s">
        <v>1389</v>
      </c>
      <c r="M268" s="16" t="s">
        <v>1390</v>
      </c>
      <c r="N268" s="15" t="s">
        <v>1064</v>
      </c>
      <c r="O268" s="15" t="s">
        <v>98</v>
      </c>
      <c r="P268" s="15" t="s">
        <v>351</v>
      </c>
      <c r="Q268" s="15"/>
      <c r="R268" s="15" t="s">
        <v>127</v>
      </c>
      <c r="S268" s="15" t="s">
        <v>114</v>
      </c>
      <c r="T268" s="15" t="s">
        <v>114</v>
      </c>
      <c r="U268" s="15" t="s">
        <v>7</v>
      </c>
      <c r="V268" s="15" t="s">
        <v>1391</v>
      </c>
      <c r="W268" s="13" t="s">
        <v>137</v>
      </c>
      <c r="X268" s="13" t="s">
        <v>1375</v>
      </c>
    </row>
    <row r="269" customHeight="1" spans="1:24">
      <c r="A269" s="15" t="s">
        <v>1392</v>
      </c>
      <c r="B269" s="15" t="s">
        <v>35</v>
      </c>
      <c r="C269" s="15" t="s">
        <v>221</v>
      </c>
      <c r="D269" s="15" t="s">
        <v>222</v>
      </c>
      <c r="E269" s="15" t="s">
        <v>89</v>
      </c>
      <c r="F269" s="15" t="s">
        <v>89</v>
      </c>
      <c r="G269" s="15" t="s">
        <v>120</v>
      </c>
      <c r="H269" s="15" t="s">
        <v>91</v>
      </c>
      <c r="I269" s="15" t="s">
        <v>92</v>
      </c>
      <c r="J269" s="15" t="s">
        <v>170</v>
      </c>
      <c r="K269" s="16" t="s">
        <v>181</v>
      </c>
      <c r="L269" s="16" t="s">
        <v>1393</v>
      </c>
      <c r="M269" s="16" t="s">
        <v>1394</v>
      </c>
      <c r="N269" s="15" t="s">
        <v>1064</v>
      </c>
      <c r="O269" s="15" t="s">
        <v>98</v>
      </c>
      <c r="P269" s="15" t="s">
        <v>351</v>
      </c>
      <c r="Q269" s="15"/>
      <c r="R269" s="15" t="s">
        <v>127</v>
      </c>
      <c r="S269" s="15" t="s">
        <v>114</v>
      </c>
      <c r="T269" s="15" t="s">
        <v>114</v>
      </c>
      <c r="U269" s="15" t="s">
        <v>7</v>
      </c>
      <c r="V269" s="15" t="s">
        <v>1395</v>
      </c>
      <c r="W269" s="13" t="s">
        <v>137</v>
      </c>
      <c r="X269" s="13" t="s">
        <v>1375</v>
      </c>
    </row>
    <row r="270" customHeight="1" spans="1:24">
      <c r="A270" s="15" t="s">
        <v>1396</v>
      </c>
      <c r="B270" s="15" t="s">
        <v>35</v>
      </c>
      <c r="C270" s="15" t="s">
        <v>1397</v>
      </c>
      <c r="D270" s="15" t="s">
        <v>1398</v>
      </c>
      <c r="E270" s="15" t="s">
        <v>89</v>
      </c>
      <c r="F270" s="15" t="s">
        <v>89</v>
      </c>
      <c r="G270" s="15" t="s">
        <v>120</v>
      </c>
      <c r="H270" s="15" t="s">
        <v>91</v>
      </c>
      <c r="I270" s="15" t="s">
        <v>92</v>
      </c>
      <c r="J270" s="15" t="s">
        <v>214</v>
      </c>
      <c r="K270" s="16" t="s">
        <v>215</v>
      </c>
      <c r="L270" s="16" t="s">
        <v>1399</v>
      </c>
      <c r="M270" s="16" t="s">
        <v>1400</v>
      </c>
      <c r="N270" s="15" t="s">
        <v>1064</v>
      </c>
      <c r="O270" s="15" t="s">
        <v>98</v>
      </c>
      <c r="P270" s="15" t="s">
        <v>1401</v>
      </c>
      <c r="Q270" s="15"/>
      <c r="R270" s="15" t="s">
        <v>127</v>
      </c>
      <c r="S270" s="15" t="str">
        <f>HYPERLINK("http://shopweb.tjgdyf.com:8090/snapshot/G_62/D_1339/p_6871/0014101e0a97_20200911090233_22.jpg","查看图片")</f>
        <v>查看图片</v>
      </c>
      <c r="T270" s="15" t="s">
        <v>114</v>
      </c>
      <c r="U270" s="15" t="s">
        <v>7</v>
      </c>
      <c r="V270" s="15" t="s">
        <v>1402</v>
      </c>
      <c r="W270" s="13" t="s">
        <v>137</v>
      </c>
      <c r="X270" s="13" t="s">
        <v>1375</v>
      </c>
    </row>
    <row r="271" customHeight="1" spans="1:24">
      <c r="A271" s="15" t="s">
        <v>1403</v>
      </c>
      <c r="B271" s="15" t="s">
        <v>24</v>
      </c>
      <c r="C271" s="15" t="s">
        <v>152</v>
      </c>
      <c r="D271" s="15" t="s">
        <v>168</v>
      </c>
      <c r="E271" s="15" t="s">
        <v>154</v>
      </c>
      <c r="F271" s="15" t="s">
        <v>89</v>
      </c>
      <c r="G271" s="15" t="s">
        <v>120</v>
      </c>
      <c r="H271" s="15" t="s">
        <v>91</v>
      </c>
      <c r="I271" s="15" t="s">
        <v>92</v>
      </c>
      <c r="J271" s="15" t="s">
        <v>265</v>
      </c>
      <c r="K271" s="16" t="s">
        <v>143</v>
      </c>
      <c r="L271" s="16" t="s">
        <v>1404</v>
      </c>
      <c r="M271" s="16" t="s">
        <v>1405</v>
      </c>
      <c r="N271" s="15" t="s">
        <v>1406</v>
      </c>
      <c r="O271" s="15" t="s">
        <v>98</v>
      </c>
      <c r="P271" s="15" t="s">
        <v>186</v>
      </c>
      <c r="Q271" s="15"/>
      <c r="R271" s="15" t="s">
        <v>127</v>
      </c>
      <c r="S271" s="15" t="str">
        <f>HYPERLINK("http://shopweb.tjgdyf.com:8090/snapshot/G_62/D_1314/p_1143/20200913144855.jpg","查看图片")</f>
        <v>查看图片</v>
      </c>
      <c r="T271" s="15" t="str">
        <f>HYPERLINK("http://ovopark.oss-cn-hangzhou.aliyuncs.com/2211_436864207248705_image_1600482490534.jpg","查看图片")</f>
        <v>查看图片</v>
      </c>
      <c r="U271" s="15" t="s">
        <v>7</v>
      </c>
      <c r="V271" s="15" t="s">
        <v>1407</v>
      </c>
      <c r="W271" s="13" t="s">
        <v>137</v>
      </c>
      <c r="X271" s="13" t="s">
        <v>1408</v>
      </c>
    </row>
    <row r="272" customHeight="1" spans="1:24">
      <c r="A272" s="15" t="s">
        <v>1409</v>
      </c>
      <c r="B272" s="15" t="s">
        <v>24</v>
      </c>
      <c r="C272" s="15" t="s">
        <v>152</v>
      </c>
      <c r="D272" s="15" t="s">
        <v>168</v>
      </c>
      <c r="E272" s="15" t="s">
        <v>154</v>
      </c>
      <c r="F272" s="15" t="s">
        <v>89</v>
      </c>
      <c r="G272" s="15" t="s">
        <v>120</v>
      </c>
      <c r="H272" s="15" t="s">
        <v>91</v>
      </c>
      <c r="I272" s="15" t="s">
        <v>92</v>
      </c>
      <c r="J272" s="15" t="s">
        <v>265</v>
      </c>
      <c r="K272" s="16" t="s">
        <v>143</v>
      </c>
      <c r="L272" s="16" t="s">
        <v>1410</v>
      </c>
      <c r="M272" s="16" t="s">
        <v>1411</v>
      </c>
      <c r="N272" s="15" t="s">
        <v>1406</v>
      </c>
      <c r="O272" s="15" t="s">
        <v>98</v>
      </c>
      <c r="P272" s="15" t="s">
        <v>186</v>
      </c>
      <c r="Q272" s="15"/>
      <c r="R272" s="15" t="s">
        <v>127</v>
      </c>
      <c r="S272" s="15" t="str">
        <f>HYPERLINK("http://shopweb.tjgdyf.com:8090/snapshot/G_62/D_1314/p_1130/20200913144927.jpg","查看图片")</f>
        <v>查看图片</v>
      </c>
      <c r="T272" s="15" t="str">
        <f>HYPERLINK("http://ovopark.oss-cn-hangzhou.aliyuncs.com/2211_436435575105589_image_1600482025839.jpg","查看图片")</f>
        <v>查看图片</v>
      </c>
      <c r="U272" s="15" t="s">
        <v>7</v>
      </c>
      <c r="V272" s="15" t="s">
        <v>1412</v>
      </c>
      <c r="W272" s="13" t="s">
        <v>137</v>
      </c>
      <c r="X272" s="13" t="s">
        <v>1408</v>
      </c>
    </row>
    <row r="273" customHeight="1" spans="1:24">
      <c r="A273" s="15" t="s">
        <v>1413</v>
      </c>
      <c r="B273" s="15" t="s">
        <v>29</v>
      </c>
      <c r="C273" s="15" t="s">
        <v>1414</v>
      </c>
      <c r="D273" s="15" t="s">
        <v>1415</v>
      </c>
      <c r="E273" s="15" t="s">
        <v>89</v>
      </c>
      <c r="F273" s="15" t="s">
        <v>89</v>
      </c>
      <c r="G273" s="15" t="s">
        <v>120</v>
      </c>
      <c r="H273" s="15" t="s">
        <v>91</v>
      </c>
      <c r="I273" s="15" t="s">
        <v>92</v>
      </c>
      <c r="J273" s="15" t="s">
        <v>215</v>
      </c>
      <c r="K273" s="16" t="s">
        <v>155</v>
      </c>
      <c r="L273" s="16" t="s">
        <v>1416</v>
      </c>
      <c r="M273" s="16" t="s">
        <v>1417</v>
      </c>
      <c r="N273" s="15" t="s">
        <v>1418</v>
      </c>
      <c r="O273" s="15" t="s">
        <v>98</v>
      </c>
      <c r="P273" s="15" t="s">
        <v>126</v>
      </c>
      <c r="Q273" s="15"/>
      <c r="R273" s="15" t="s">
        <v>1419</v>
      </c>
      <c r="S273" s="15" t="str">
        <f>HYPERLINK("http://ovopark.oss-cn-hangzhou.aliyuncs.com/202009141140251012.jpeg?x-oss-process=image/resize,w_700,l_700","查看图片")</f>
        <v>查看图片</v>
      </c>
      <c r="T273" s="15" t="str">
        <f>HYPERLINK("http://ovopark.oss-cn-hangzhou.aliyuncs.com/5045_691559651850252_image_1600164442722.jpg","查看图片")</f>
        <v>查看图片</v>
      </c>
      <c r="U273" s="15" t="s">
        <v>15</v>
      </c>
      <c r="V273" s="15" t="s">
        <v>1420</v>
      </c>
      <c r="W273" s="13" t="s">
        <v>102</v>
      </c>
      <c r="X273" s="13" t="s">
        <v>22</v>
      </c>
    </row>
    <row r="274" customHeight="1" spans="1:24">
      <c r="A274" s="15" t="s">
        <v>1421</v>
      </c>
      <c r="B274" s="15" t="s">
        <v>12</v>
      </c>
      <c r="C274" s="15" t="s">
        <v>221</v>
      </c>
      <c r="D274" s="15" t="s">
        <v>222</v>
      </c>
      <c r="E274" s="15" t="s">
        <v>89</v>
      </c>
      <c r="F274" s="15" t="s">
        <v>89</v>
      </c>
      <c r="G274" s="15" t="s">
        <v>120</v>
      </c>
      <c r="H274" s="15" t="s">
        <v>91</v>
      </c>
      <c r="I274" s="15" t="s">
        <v>92</v>
      </c>
      <c r="J274" s="15" t="s">
        <v>1422</v>
      </c>
      <c r="K274" s="16" t="s">
        <v>169</v>
      </c>
      <c r="L274" s="16" t="s">
        <v>1423</v>
      </c>
      <c r="M274" s="16" t="s">
        <v>1424</v>
      </c>
      <c r="N274" s="15" t="s">
        <v>1322</v>
      </c>
      <c r="O274" s="15" t="s">
        <v>98</v>
      </c>
      <c r="P274" s="15" t="s">
        <v>186</v>
      </c>
      <c r="Q274" s="15"/>
      <c r="R274" s="15" t="s">
        <v>127</v>
      </c>
      <c r="S274" s="15" t="s">
        <v>114</v>
      </c>
      <c r="T274" s="15" t="str">
        <f>HYPERLINK("http://ovopark.oss-cn-hangzhou.aliyuncs.com/202009181214494740.jpeg","查看图片")</f>
        <v>查看图片</v>
      </c>
      <c r="U274" s="15" t="s">
        <v>7</v>
      </c>
      <c r="V274" s="15" t="s">
        <v>1425</v>
      </c>
      <c r="W274" s="13" t="s">
        <v>137</v>
      </c>
      <c r="X274" s="13" t="s">
        <v>1324</v>
      </c>
    </row>
    <row r="275" customHeight="1" spans="1:24">
      <c r="A275" s="15" t="s">
        <v>1426</v>
      </c>
      <c r="B275" s="15" t="s">
        <v>12</v>
      </c>
      <c r="C275" s="15" t="s">
        <v>221</v>
      </c>
      <c r="D275" s="15" t="s">
        <v>222</v>
      </c>
      <c r="E275" s="15" t="s">
        <v>89</v>
      </c>
      <c r="F275" s="15" t="s">
        <v>89</v>
      </c>
      <c r="G275" s="15" t="s">
        <v>120</v>
      </c>
      <c r="H275" s="15" t="s">
        <v>91</v>
      </c>
      <c r="I275" s="15" t="s">
        <v>92</v>
      </c>
      <c r="J275" s="15" t="s">
        <v>1422</v>
      </c>
      <c r="K275" s="16" t="s">
        <v>169</v>
      </c>
      <c r="L275" s="16" t="s">
        <v>1427</v>
      </c>
      <c r="M275" s="16" t="s">
        <v>1428</v>
      </c>
      <c r="N275" s="15" t="s">
        <v>1322</v>
      </c>
      <c r="O275" s="15" t="s">
        <v>98</v>
      </c>
      <c r="P275" s="15" t="s">
        <v>186</v>
      </c>
      <c r="Q275" s="15"/>
      <c r="R275" s="15" t="s">
        <v>127</v>
      </c>
      <c r="S275" s="15" t="s">
        <v>114</v>
      </c>
      <c r="T275" s="15" t="str">
        <f>HYPERLINK("http://ovopark.oss-cn-hangzhou.aliyuncs.com/202009181224447745.jpeg","查看图片")</f>
        <v>查看图片</v>
      </c>
      <c r="U275" s="15" t="s">
        <v>7</v>
      </c>
      <c r="V275" s="15" t="s">
        <v>1429</v>
      </c>
      <c r="W275" s="13" t="s">
        <v>137</v>
      </c>
      <c r="X275" s="13" t="s">
        <v>1324</v>
      </c>
    </row>
    <row r="276" customHeight="1" spans="1:24">
      <c r="A276" s="15" t="s">
        <v>1430</v>
      </c>
      <c r="B276" s="15" t="s">
        <v>54</v>
      </c>
      <c r="C276" s="15" t="s">
        <v>152</v>
      </c>
      <c r="D276" s="15" t="s">
        <v>153</v>
      </c>
      <c r="E276" s="15" t="s">
        <v>154</v>
      </c>
      <c r="F276" s="15" t="s">
        <v>89</v>
      </c>
      <c r="G276" s="15" t="s">
        <v>120</v>
      </c>
      <c r="H276" s="15" t="s">
        <v>91</v>
      </c>
      <c r="I276" s="15" t="s">
        <v>92</v>
      </c>
      <c r="J276" s="15" t="s">
        <v>214</v>
      </c>
      <c r="K276" s="16" t="s">
        <v>215</v>
      </c>
      <c r="L276" s="16" t="s">
        <v>1431</v>
      </c>
      <c r="M276" s="16" t="s">
        <v>1432</v>
      </c>
      <c r="N276" s="15" t="s">
        <v>1433</v>
      </c>
      <c r="O276" s="15" t="s">
        <v>98</v>
      </c>
      <c r="P276" s="15" t="s">
        <v>160</v>
      </c>
      <c r="Q276" s="15"/>
      <c r="R276" s="15" t="s">
        <v>127</v>
      </c>
      <c r="S276" s="15" t="str">
        <f>HYPERLINK("http://shopweb.tjgdyf.com:8090/snapshot/G_62/D_1626/p_6110/20200911143646.jpg","查看图片")</f>
        <v>查看图片</v>
      </c>
      <c r="T276" s="15" t="s">
        <v>114</v>
      </c>
      <c r="U276" s="15" t="s">
        <v>7</v>
      </c>
      <c r="V276" s="15" t="s">
        <v>1434</v>
      </c>
      <c r="W276" s="13" t="s">
        <v>137</v>
      </c>
      <c r="X276" s="13" t="s">
        <v>1435</v>
      </c>
    </row>
    <row r="277" customHeight="1" spans="1:24">
      <c r="A277" s="15" t="s">
        <v>1436</v>
      </c>
      <c r="B277" s="15" t="s">
        <v>20</v>
      </c>
      <c r="C277" s="15" t="s">
        <v>337</v>
      </c>
      <c r="D277" s="15" t="s">
        <v>338</v>
      </c>
      <c r="E277" s="15" t="s">
        <v>119</v>
      </c>
      <c r="F277" s="15" t="s">
        <v>89</v>
      </c>
      <c r="G277" s="15" t="s">
        <v>120</v>
      </c>
      <c r="H277" s="15" t="s">
        <v>91</v>
      </c>
      <c r="I277" s="15" t="s">
        <v>92</v>
      </c>
      <c r="J277" s="15" t="s">
        <v>169</v>
      </c>
      <c r="K277" s="16" t="s">
        <v>170</v>
      </c>
      <c r="L277" s="16" t="s">
        <v>1437</v>
      </c>
      <c r="M277" s="16" t="s">
        <v>1438</v>
      </c>
      <c r="N277" s="15" t="s">
        <v>1439</v>
      </c>
      <c r="O277" s="15" t="s">
        <v>98</v>
      </c>
      <c r="P277" s="15" t="s">
        <v>1440</v>
      </c>
      <c r="Q277" s="15"/>
      <c r="R277" s="15" t="s">
        <v>1441</v>
      </c>
      <c r="S277" s="15" t="str">
        <f>HYPERLINK("http://ovopark.oss-cn-hangzhou.aliyuncs.com/5479_793641470496074_IMG_20200909_090934.jpg?x-oss-process=image/resize,w_700,l_700","查看图片")</f>
        <v>查看图片</v>
      </c>
      <c r="T277" s="15" t="str">
        <f>HYPERLINK("http://ovopark.oss-cn-hangzhou.aliyuncs.com/202009141129574332.jpeg","查看图片")</f>
        <v>查看图片</v>
      </c>
      <c r="U277" s="15" t="s">
        <v>15</v>
      </c>
      <c r="V277" s="15" t="s">
        <v>1442</v>
      </c>
      <c r="W277" s="13" t="s">
        <v>137</v>
      </c>
      <c r="X277" s="13" t="s">
        <v>1443</v>
      </c>
    </row>
    <row r="278" customHeight="1" spans="1:24">
      <c r="A278" s="15" t="s">
        <v>1444</v>
      </c>
      <c r="B278" s="15" t="s">
        <v>44</v>
      </c>
      <c r="C278" s="15" t="s">
        <v>190</v>
      </c>
      <c r="D278" s="15" t="s">
        <v>191</v>
      </c>
      <c r="E278" s="15" t="s">
        <v>154</v>
      </c>
      <c r="F278" s="15" t="s">
        <v>89</v>
      </c>
      <c r="G278" s="15" t="s">
        <v>120</v>
      </c>
      <c r="H278" s="15" t="s">
        <v>91</v>
      </c>
      <c r="I278" s="15" t="s">
        <v>92</v>
      </c>
      <c r="J278" s="15" t="s">
        <v>170</v>
      </c>
      <c r="K278" s="16" t="s">
        <v>181</v>
      </c>
      <c r="L278" s="16" t="s">
        <v>1445</v>
      </c>
      <c r="M278" s="16" t="s">
        <v>1446</v>
      </c>
      <c r="N278" s="15" t="s">
        <v>865</v>
      </c>
      <c r="O278" s="15" t="s">
        <v>98</v>
      </c>
      <c r="P278" s="15" t="s">
        <v>351</v>
      </c>
      <c r="Q278" s="15"/>
      <c r="R278" s="15" t="s">
        <v>127</v>
      </c>
      <c r="S278" s="15" t="str">
        <f>HYPERLINK("http://shopweb.tjgdyf.com:8090/snapshot/G_62/D_1319/p_520/20200912111749.jpg","查看图片")</f>
        <v>查看图片</v>
      </c>
      <c r="T278" s="15" t="s">
        <v>114</v>
      </c>
      <c r="U278" s="15" t="s">
        <v>7</v>
      </c>
      <c r="V278" s="15" t="s">
        <v>1447</v>
      </c>
      <c r="W278" s="13" t="s">
        <v>102</v>
      </c>
      <c r="X278" s="13" t="s">
        <v>31</v>
      </c>
    </row>
    <row r="279" customHeight="1" spans="1:24">
      <c r="A279" s="15" t="s">
        <v>1448</v>
      </c>
      <c r="B279" s="15" t="s">
        <v>44</v>
      </c>
      <c r="C279" s="15" t="s">
        <v>221</v>
      </c>
      <c r="D279" s="15" t="s">
        <v>222</v>
      </c>
      <c r="E279" s="15" t="s">
        <v>89</v>
      </c>
      <c r="F279" s="15" t="s">
        <v>89</v>
      </c>
      <c r="G279" s="15" t="s">
        <v>120</v>
      </c>
      <c r="H279" s="15" t="s">
        <v>91</v>
      </c>
      <c r="I279" s="15" t="s">
        <v>92</v>
      </c>
      <c r="J279" s="15" t="s">
        <v>170</v>
      </c>
      <c r="K279" s="16" t="s">
        <v>181</v>
      </c>
      <c r="L279" s="16" t="s">
        <v>1449</v>
      </c>
      <c r="M279" s="16" t="s">
        <v>1450</v>
      </c>
      <c r="N279" s="15" t="s">
        <v>865</v>
      </c>
      <c r="O279" s="15" t="s">
        <v>98</v>
      </c>
      <c r="P279" s="15" t="s">
        <v>351</v>
      </c>
      <c r="Q279" s="15"/>
      <c r="R279" s="15" t="s">
        <v>127</v>
      </c>
      <c r="S279" s="15" t="s">
        <v>114</v>
      </c>
      <c r="T279" s="15" t="s">
        <v>114</v>
      </c>
      <c r="U279" s="15" t="s">
        <v>7</v>
      </c>
      <c r="V279" s="15" t="s">
        <v>1451</v>
      </c>
      <c r="W279" s="13" t="s">
        <v>102</v>
      </c>
      <c r="X279" s="13" t="s">
        <v>31</v>
      </c>
    </row>
    <row r="280" customHeight="1" spans="1:24">
      <c r="A280" s="15" t="s">
        <v>1452</v>
      </c>
      <c r="B280" s="15" t="s">
        <v>44</v>
      </c>
      <c r="C280" s="15" t="s">
        <v>221</v>
      </c>
      <c r="D280" s="15" t="s">
        <v>222</v>
      </c>
      <c r="E280" s="15" t="s">
        <v>89</v>
      </c>
      <c r="F280" s="15" t="s">
        <v>89</v>
      </c>
      <c r="G280" s="15" t="s">
        <v>120</v>
      </c>
      <c r="H280" s="15" t="s">
        <v>91</v>
      </c>
      <c r="I280" s="15" t="s">
        <v>92</v>
      </c>
      <c r="J280" s="15" t="s">
        <v>170</v>
      </c>
      <c r="K280" s="16" t="s">
        <v>181</v>
      </c>
      <c r="L280" s="16" t="s">
        <v>1453</v>
      </c>
      <c r="M280" s="16" t="s">
        <v>1454</v>
      </c>
      <c r="N280" s="15" t="s">
        <v>865</v>
      </c>
      <c r="O280" s="15" t="s">
        <v>98</v>
      </c>
      <c r="P280" s="15" t="s">
        <v>351</v>
      </c>
      <c r="Q280" s="15"/>
      <c r="R280" s="15" t="s">
        <v>127</v>
      </c>
      <c r="S280" s="15" t="s">
        <v>114</v>
      </c>
      <c r="T280" s="15" t="s">
        <v>114</v>
      </c>
      <c r="U280" s="15" t="s">
        <v>7</v>
      </c>
      <c r="V280" s="15" t="s">
        <v>1455</v>
      </c>
      <c r="W280" s="13" t="s">
        <v>102</v>
      </c>
      <c r="X280" s="13" t="s">
        <v>31</v>
      </c>
    </row>
    <row r="281" customHeight="1" spans="1:24">
      <c r="A281" s="15" t="s">
        <v>1456</v>
      </c>
      <c r="B281" s="15" t="s">
        <v>44</v>
      </c>
      <c r="C281" s="15" t="s">
        <v>221</v>
      </c>
      <c r="D281" s="15" t="s">
        <v>222</v>
      </c>
      <c r="E281" s="15" t="s">
        <v>89</v>
      </c>
      <c r="F281" s="15" t="s">
        <v>89</v>
      </c>
      <c r="G281" s="15" t="s">
        <v>120</v>
      </c>
      <c r="H281" s="15" t="s">
        <v>91</v>
      </c>
      <c r="I281" s="15" t="s">
        <v>92</v>
      </c>
      <c r="J281" s="15" t="s">
        <v>170</v>
      </c>
      <c r="K281" s="16" t="s">
        <v>181</v>
      </c>
      <c r="L281" s="16" t="s">
        <v>1457</v>
      </c>
      <c r="M281" s="16" t="s">
        <v>1458</v>
      </c>
      <c r="N281" s="15" t="s">
        <v>865</v>
      </c>
      <c r="O281" s="15" t="s">
        <v>98</v>
      </c>
      <c r="P281" s="15" t="s">
        <v>351</v>
      </c>
      <c r="Q281" s="15"/>
      <c r="R281" s="15" t="s">
        <v>127</v>
      </c>
      <c r="S281" s="15" t="s">
        <v>114</v>
      </c>
      <c r="T281" s="15" t="s">
        <v>114</v>
      </c>
      <c r="U281" s="15" t="s">
        <v>7</v>
      </c>
      <c r="V281" s="15" t="s">
        <v>1459</v>
      </c>
      <c r="W281" s="13" t="s">
        <v>102</v>
      </c>
      <c r="X281" s="13" t="s">
        <v>31</v>
      </c>
    </row>
    <row r="282" customHeight="1" spans="1:24">
      <c r="A282" s="15" t="s">
        <v>1460</v>
      </c>
      <c r="B282" s="15" t="s">
        <v>44</v>
      </c>
      <c r="C282" s="15" t="s">
        <v>221</v>
      </c>
      <c r="D282" s="15" t="s">
        <v>222</v>
      </c>
      <c r="E282" s="15" t="s">
        <v>89</v>
      </c>
      <c r="F282" s="15" t="s">
        <v>89</v>
      </c>
      <c r="G282" s="15" t="s">
        <v>120</v>
      </c>
      <c r="H282" s="15" t="s">
        <v>91</v>
      </c>
      <c r="I282" s="15" t="s">
        <v>92</v>
      </c>
      <c r="J282" s="15" t="s">
        <v>170</v>
      </c>
      <c r="K282" s="16" t="s">
        <v>181</v>
      </c>
      <c r="L282" s="16" t="s">
        <v>1461</v>
      </c>
      <c r="M282" s="16" t="s">
        <v>1462</v>
      </c>
      <c r="N282" s="15" t="s">
        <v>865</v>
      </c>
      <c r="O282" s="15" t="s">
        <v>98</v>
      </c>
      <c r="P282" s="15" t="s">
        <v>351</v>
      </c>
      <c r="Q282" s="15"/>
      <c r="R282" s="15" t="s">
        <v>127</v>
      </c>
      <c r="S282" s="15" t="s">
        <v>114</v>
      </c>
      <c r="T282" s="15" t="s">
        <v>114</v>
      </c>
      <c r="U282" s="15" t="s">
        <v>7</v>
      </c>
      <c r="V282" s="15" t="s">
        <v>1463</v>
      </c>
      <c r="W282" s="13" t="s">
        <v>102</v>
      </c>
      <c r="X282" s="13" t="s">
        <v>31</v>
      </c>
    </row>
    <row r="283" customHeight="1" spans="1:24">
      <c r="A283" s="15" t="s">
        <v>1464</v>
      </c>
      <c r="B283" s="15" t="s">
        <v>44</v>
      </c>
      <c r="C283" s="15" t="s">
        <v>221</v>
      </c>
      <c r="D283" s="15" t="s">
        <v>222</v>
      </c>
      <c r="E283" s="15" t="s">
        <v>89</v>
      </c>
      <c r="F283" s="15" t="s">
        <v>89</v>
      </c>
      <c r="G283" s="15" t="s">
        <v>120</v>
      </c>
      <c r="H283" s="15" t="s">
        <v>91</v>
      </c>
      <c r="I283" s="15" t="s">
        <v>92</v>
      </c>
      <c r="J283" s="15" t="s">
        <v>170</v>
      </c>
      <c r="K283" s="16" t="s">
        <v>181</v>
      </c>
      <c r="L283" s="16" t="s">
        <v>1465</v>
      </c>
      <c r="M283" s="16" t="s">
        <v>1466</v>
      </c>
      <c r="N283" s="15" t="s">
        <v>865</v>
      </c>
      <c r="O283" s="15" t="s">
        <v>98</v>
      </c>
      <c r="P283" s="15" t="s">
        <v>351</v>
      </c>
      <c r="Q283" s="15"/>
      <c r="R283" s="15" t="s">
        <v>127</v>
      </c>
      <c r="S283" s="15" t="s">
        <v>114</v>
      </c>
      <c r="T283" s="15" t="s">
        <v>114</v>
      </c>
      <c r="U283" s="15" t="s">
        <v>7</v>
      </c>
      <c r="V283" s="15" t="s">
        <v>1467</v>
      </c>
      <c r="W283" s="13" t="s">
        <v>102</v>
      </c>
      <c r="X283" s="13" t="s">
        <v>31</v>
      </c>
    </row>
    <row r="284" customHeight="1" spans="1:24">
      <c r="A284" s="15" t="s">
        <v>1468</v>
      </c>
      <c r="B284" s="15" t="s">
        <v>44</v>
      </c>
      <c r="C284" s="15" t="s">
        <v>221</v>
      </c>
      <c r="D284" s="15" t="s">
        <v>222</v>
      </c>
      <c r="E284" s="15" t="s">
        <v>89</v>
      </c>
      <c r="F284" s="15" t="s">
        <v>89</v>
      </c>
      <c r="G284" s="15" t="s">
        <v>120</v>
      </c>
      <c r="H284" s="15" t="s">
        <v>91</v>
      </c>
      <c r="I284" s="15" t="s">
        <v>92</v>
      </c>
      <c r="J284" s="15" t="s">
        <v>170</v>
      </c>
      <c r="K284" s="16" t="s">
        <v>181</v>
      </c>
      <c r="L284" s="16" t="s">
        <v>1469</v>
      </c>
      <c r="M284" s="16" t="s">
        <v>1470</v>
      </c>
      <c r="N284" s="15" t="s">
        <v>865</v>
      </c>
      <c r="O284" s="15" t="s">
        <v>98</v>
      </c>
      <c r="P284" s="15" t="s">
        <v>351</v>
      </c>
      <c r="Q284" s="15"/>
      <c r="R284" s="15" t="s">
        <v>127</v>
      </c>
      <c r="S284" s="15" t="s">
        <v>114</v>
      </c>
      <c r="T284" s="15" t="s">
        <v>114</v>
      </c>
      <c r="U284" s="15" t="s">
        <v>7</v>
      </c>
      <c r="V284" s="15" t="s">
        <v>1471</v>
      </c>
      <c r="W284" s="13" t="s">
        <v>102</v>
      </c>
      <c r="X284" s="13" t="s">
        <v>31</v>
      </c>
    </row>
    <row r="285" customHeight="1" spans="1:24">
      <c r="A285" s="15" t="s">
        <v>1472</v>
      </c>
      <c r="B285" s="15" t="s">
        <v>32</v>
      </c>
      <c r="C285" s="15" t="s">
        <v>221</v>
      </c>
      <c r="D285" s="15" t="s">
        <v>222</v>
      </c>
      <c r="E285" s="15" t="s">
        <v>89</v>
      </c>
      <c r="F285" s="15" t="s">
        <v>89</v>
      </c>
      <c r="G285" s="15" t="s">
        <v>120</v>
      </c>
      <c r="H285" s="15" t="s">
        <v>91</v>
      </c>
      <c r="I285" s="15" t="s">
        <v>92</v>
      </c>
      <c r="J285" s="15" t="s">
        <v>170</v>
      </c>
      <c r="K285" s="16" t="s">
        <v>181</v>
      </c>
      <c r="L285" s="16" t="s">
        <v>1473</v>
      </c>
      <c r="M285" s="16" t="s">
        <v>1474</v>
      </c>
      <c r="N285" s="15" t="s">
        <v>1475</v>
      </c>
      <c r="O285" s="15" t="s">
        <v>98</v>
      </c>
      <c r="P285" s="15" t="s">
        <v>351</v>
      </c>
      <c r="Q285" s="15"/>
      <c r="R285" s="15" t="s">
        <v>127</v>
      </c>
      <c r="S285" s="15" t="s">
        <v>114</v>
      </c>
      <c r="T285" s="15" t="s">
        <v>114</v>
      </c>
      <c r="U285" s="15" t="s">
        <v>7</v>
      </c>
      <c r="V285" s="15" t="s">
        <v>1476</v>
      </c>
      <c r="W285" s="13" t="s">
        <v>102</v>
      </c>
      <c r="X285" s="13" t="s">
        <v>31</v>
      </c>
    </row>
    <row r="286" customHeight="1" spans="1:24">
      <c r="A286" s="15" t="s">
        <v>1477</v>
      </c>
      <c r="B286" s="15" t="s">
        <v>32</v>
      </c>
      <c r="C286" s="15" t="s">
        <v>221</v>
      </c>
      <c r="D286" s="15" t="s">
        <v>222</v>
      </c>
      <c r="E286" s="15" t="s">
        <v>89</v>
      </c>
      <c r="F286" s="15" t="s">
        <v>89</v>
      </c>
      <c r="G286" s="15" t="s">
        <v>120</v>
      </c>
      <c r="H286" s="15" t="s">
        <v>91</v>
      </c>
      <c r="I286" s="15" t="s">
        <v>92</v>
      </c>
      <c r="J286" s="15" t="s">
        <v>170</v>
      </c>
      <c r="K286" s="16" t="s">
        <v>181</v>
      </c>
      <c r="L286" s="16" t="s">
        <v>1478</v>
      </c>
      <c r="M286" s="16" t="s">
        <v>1479</v>
      </c>
      <c r="N286" s="15" t="s">
        <v>1475</v>
      </c>
      <c r="O286" s="15" t="s">
        <v>98</v>
      </c>
      <c r="P286" s="15" t="s">
        <v>351</v>
      </c>
      <c r="Q286" s="15"/>
      <c r="R286" s="15" t="s">
        <v>127</v>
      </c>
      <c r="S286" s="15" t="s">
        <v>114</v>
      </c>
      <c r="T286" s="15" t="s">
        <v>114</v>
      </c>
      <c r="U286" s="15" t="s">
        <v>7</v>
      </c>
      <c r="V286" s="15" t="s">
        <v>1480</v>
      </c>
      <c r="W286" s="13" t="s">
        <v>102</v>
      </c>
      <c r="X286" s="13" t="s">
        <v>31</v>
      </c>
    </row>
    <row r="287" customHeight="1" spans="1:24">
      <c r="A287" s="15" t="s">
        <v>1481</v>
      </c>
      <c r="B287" s="15" t="s">
        <v>32</v>
      </c>
      <c r="C287" s="15" t="s">
        <v>221</v>
      </c>
      <c r="D287" s="15" t="s">
        <v>222</v>
      </c>
      <c r="E287" s="15" t="s">
        <v>89</v>
      </c>
      <c r="F287" s="15" t="s">
        <v>89</v>
      </c>
      <c r="G287" s="15" t="s">
        <v>120</v>
      </c>
      <c r="H287" s="15" t="s">
        <v>91</v>
      </c>
      <c r="I287" s="15" t="s">
        <v>92</v>
      </c>
      <c r="J287" s="15" t="s">
        <v>170</v>
      </c>
      <c r="K287" s="16" t="s">
        <v>181</v>
      </c>
      <c r="L287" s="16" t="s">
        <v>1482</v>
      </c>
      <c r="M287" s="16" t="s">
        <v>1483</v>
      </c>
      <c r="N287" s="15" t="s">
        <v>1475</v>
      </c>
      <c r="O287" s="15" t="s">
        <v>98</v>
      </c>
      <c r="P287" s="15" t="s">
        <v>351</v>
      </c>
      <c r="Q287" s="15"/>
      <c r="R287" s="15" t="s">
        <v>127</v>
      </c>
      <c r="S287" s="15" t="s">
        <v>114</v>
      </c>
      <c r="T287" s="15" t="s">
        <v>114</v>
      </c>
      <c r="U287" s="15" t="s">
        <v>7</v>
      </c>
      <c r="V287" s="15" t="s">
        <v>1484</v>
      </c>
      <c r="W287" s="13" t="s">
        <v>102</v>
      </c>
      <c r="X287" s="13" t="s">
        <v>31</v>
      </c>
    </row>
    <row r="288" customHeight="1" spans="1:24">
      <c r="A288" s="15" t="s">
        <v>1485</v>
      </c>
      <c r="B288" s="15" t="s">
        <v>32</v>
      </c>
      <c r="C288" s="15" t="s">
        <v>221</v>
      </c>
      <c r="D288" s="15" t="s">
        <v>222</v>
      </c>
      <c r="E288" s="15" t="s">
        <v>89</v>
      </c>
      <c r="F288" s="15" t="s">
        <v>89</v>
      </c>
      <c r="G288" s="15" t="s">
        <v>120</v>
      </c>
      <c r="H288" s="15" t="s">
        <v>91</v>
      </c>
      <c r="I288" s="15" t="s">
        <v>92</v>
      </c>
      <c r="J288" s="15" t="s">
        <v>170</v>
      </c>
      <c r="K288" s="16" t="s">
        <v>181</v>
      </c>
      <c r="L288" s="16" t="s">
        <v>1486</v>
      </c>
      <c r="M288" s="16" t="s">
        <v>1487</v>
      </c>
      <c r="N288" s="15" t="s">
        <v>1475</v>
      </c>
      <c r="O288" s="15" t="s">
        <v>98</v>
      </c>
      <c r="P288" s="15" t="s">
        <v>351</v>
      </c>
      <c r="Q288" s="15"/>
      <c r="R288" s="15" t="s">
        <v>127</v>
      </c>
      <c r="S288" s="15" t="s">
        <v>114</v>
      </c>
      <c r="T288" s="15" t="s">
        <v>114</v>
      </c>
      <c r="U288" s="15" t="s">
        <v>7</v>
      </c>
      <c r="V288" s="15" t="s">
        <v>1488</v>
      </c>
      <c r="W288" s="13" t="s">
        <v>102</v>
      </c>
      <c r="X288" s="13" t="s">
        <v>31</v>
      </c>
    </row>
    <row r="289" customHeight="1" spans="1:24">
      <c r="A289" s="15" t="s">
        <v>1489</v>
      </c>
      <c r="B289" s="15" t="s">
        <v>32</v>
      </c>
      <c r="C289" s="15" t="s">
        <v>221</v>
      </c>
      <c r="D289" s="15" t="s">
        <v>222</v>
      </c>
      <c r="E289" s="15" t="s">
        <v>89</v>
      </c>
      <c r="F289" s="15" t="s">
        <v>89</v>
      </c>
      <c r="G289" s="15" t="s">
        <v>120</v>
      </c>
      <c r="H289" s="15" t="s">
        <v>91</v>
      </c>
      <c r="I289" s="15" t="s">
        <v>92</v>
      </c>
      <c r="J289" s="15" t="s">
        <v>170</v>
      </c>
      <c r="K289" s="16" t="s">
        <v>181</v>
      </c>
      <c r="L289" s="16" t="s">
        <v>1490</v>
      </c>
      <c r="M289" s="16" t="s">
        <v>1491</v>
      </c>
      <c r="N289" s="15" t="s">
        <v>1475</v>
      </c>
      <c r="O289" s="15" t="s">
        <v>98</v>
      </c>
      <c r="P289" s="15" t="s">
        <v>351</v>
      </c>
      <c r="Q289" s="15"/>
      <c r="R289" s="15" t="s">
        <v>127</v>
      </c>
      <c r="S289" s="15" t="s">
        <v>114</v>
      </c>
      <c r="T289" s="15" t="s">
        <v>114</v>
      </c>
      <c r="U289" s="15" t="s">
        <v>7</v>
      </c>
      <c r="V289" s="15" t="s">
        <v>1492</v>
      </c>
      <c r="W289" s="13" t="s">
        <v>102</v>
      </c>
      <c r="X289" s="13" t="s">
        <v>31</v>
      </c>
    </row>
    <row r="290" customHeight="1" spans="1:24">
      <c r="A290" s="15" t="s">
        <v>1493</v>
      </c>
      <c r="B290" s="15" t="s">
        <v>32</v>
      </c>
      <c r="C290" s="15" t="s">
        <v>221</v>
      </c>
      <c r="D290" s="15" t="s">
        <v>222</v>
      </c>
      <c r="E290" s="15" t="s">
        <v>89</v>
      </c>
      <c r="F290" s="15" t="s">
        <v>89</v>
      </c>
      <c r="G290" s="15" t="s">
        <v>120</v>
      </c>
      <c r="H290" s="15" t="s">
        <v>91</v>
      </c>
      <c r="I290" s="15" t="s">
        <v>92</v>
      </c>
      <c r="J290" s="15" t="s">
        <v>170</v>
      </c>
      <c r="K290" s="16" t="s">
        <v>181</v>
      </c>
      <c r="L290" s="16" t="s">
        <v>1494</v>
      </c>
      <c r="M290" s="16" t="s">
        <v>1495</v>
      </c>
      <c r="N290" s="15" t="s">
        <v>1475</v>
      </c>
      <c r="O290" s="15" t="s">
        <v>98</v>
      </c>
      <c r="P290" s="15" t="s">
        <v>351</v>
      </c>
      <c r="Q290" s="15"/>
      <c r="R290" s="15" t="s">
        <v>127</v>
      </c>
      <c r="S290" s="15" t="s">
        <v>114</v>
      </c>
      <c r="T290" s="15" t="s">
        <v>114</v>
      </c>
      <c r="U290" s="15" t="s">
        <v>7</v>
      </c>
      <c r="V290" s="15" t="s">
        <v>1496</v>
      </c>
      <c r="W290" s="13" t="s">
        <v>102</v>
      </c>
      <c r="X290" s="13" t="s">
        <v>31</v>
      </c>
    </row>
    <row r="291" customHeight="1" spans="1:24">
      <c r="A291" s="15" t="s">
        <v>1497</v>
      </c>
      <c r="B291" s="15" t="s">
        <v>1498</v>
      </c>
      <c r="C291" s="15" t="s">
        <v>434</v>
      </c>
      <c r="D291" s="15" t="s">
        <v>435</v>
      </c>
      <c r="E291" s="15" t="s">
        <v>119</v>
      </c>
      <c r="F291" s="15" t="s">
        <v>89</v>
      </c>
      <c r="G291" s="15" t="s">
        <v>120</v>
      </c>
      <c r="H291" s="15" t="s">
        <v>91</v>
      </c>
      <c r="I291" s="15" t="s">
        <v>92</v>
      </c>
      <c r="J291" s="15" t="s">
        <v>169</v>
      </c>
      <c r="K291" s="16" t="s">
        <v>170</v>
      </c>
      <c r="L291" s="16" t="s">
        <v>1499</v>
      </c>
      <c r="M291" s="16" t="s">
        <v>1500</v>
      </c>
      <c r="N291" s="15" t="s">
        <v>1501</v>
      </c>
      <c r="O291" s="15" t="s">
        <v>98</v>
      </c>
      <c r="P291" s="15" t="s">
        <v>1502</v>
      </c>
      <c r="Q291" s="15"/>
      <c r="R291" s="15" t="s">
        <v>1503</v>
      </c>
      <c r="S291" s="15" t="s">
        <v>114</v>
      </c>
      <c r="T291" s="15" t="str">
        <f>HYPERLINK("http://ovopark.oss-cn-hangzhou.aliyuncs.com/202009121517401133.jpeg","查看图片")</f>
        <v>查看图片</v>
      </c>
      <c r="U291" s="15" t="s">
        <v>15</v>
      </c>
      <c r="V291" s="15" t="s">
        <v>1504</v>
      </c>
      <c r="W291" s="13" t="s">
        <v>102</v>
      </c>
      <c r="X291" s="13" t="s">
        <v>1505</v>
      </c>
    </row>
    <row r="292" customHeight="1" spans="1:24">
      <c r="A292" s="15" t="s">
        <v>1506</v>
      </c>
      <c r="B292" s="15" t="s">
        <v>1498</v>
      </c>
      <c r="C292" s="15" t="s">
        <v>337</v>
      </c>
      <c r="D292" s="15" t="s">
        <v>338</v>
      </c>
      <c r="E292" s="15" t="s">
        <v>119</v>
      </c>
      <c r="F292" s="15" t="s">
        <v>89</v>
      </c>
      <c r="G292" s="15" t="s">
        <v>120</v>
      </c>
      <c r="H292" s="15" t="s">
        <v>91</v>
      </c>
      <c r="I292" s="15" t="s">
        <v>92</v>
      </c>
      <c r="J292" s="15" t="s">
        <v>169</v>
      </c>
      <c r="K292" s="16" t="s">
        <v>170</v>
      </c>
      <c r="L292" s="16" t="s">
        <v>1507</v>
      </c>
      <c r="M292" s="16" t="s">
        <v>1508</v>
      </c>
      <c r="N292" s="15" t="s">
        <v>1501</v>
      </c>
      <c r="O292" s="15" t="s">
        <v>98</v>
      </c>
      <c r="P292" s="15" t="s">
        <v>1502</v>
      </c>
      <c r="Q292" s="15"/>
      <c r="R292" s="15" t="s">
        <v>1509</v>
      </c>
      <c r="S292" s="15" t="str">
        <f>HYPERLINK("http://ovopark.oss-cn-hangzhou.aliyuncs.com/202009091502229697.jpeg?x-oss-process=image/resize,w_700,l_700","查看图片")</f>
        <v>查看图片</v>
      </c>
      <c r="T292" s="15" t="str">
        <f>HYPERLINK("http://ovopark.oss-cn-hangzhou.aliyuncs.com/202009121518083680.jpeg","查看图片")</f>
        <v>查看图片</v>
      </c>
      <c r="U292" s="15" t="s">
        <v>15</v>
      </c>
      <c r="V292" s="15" t="s">
        <v>1510</v>
      </c>
      <c r="W292" s="13" t="s">
        <v>102</v>
      </c>
      <c r="X292" s="13" t="s">
        <v>1505</v>
      </c>
    </row>
    <row r="293" customHeight="1" spans="1:24">
      <c r="A293" s="15" t="s">
        <v>1511</v>
      </c>
      <c r="B293" s="15" t="s">
        <v>1498</v>
      </c>
      <c r="C293" s="15" t="s">
        <v>337</v>
      </c>
      <c r="D293" s="15" t="s">
        <v>734</v>
      </c>
      <c r="E293" s="15" t="s">
        <v>119</v>
      </c>
      <c r="F293" s="15" t="s">
        <v>89</v>
      </c>
      <c r="G293" s="15" t="s">
        <v>120</v>
      </c>
      <c r="H293" s="15" t="s">
        <v>91</v>
      </c>
      <c r="I293" s="15" t="s">
        <v>92</v>
      </c>
      <c r="J293" s="15" t="s">
        <v>169</v>
      </c>
      <c r="K293" s="16" t="s">
        <v>170</v>
      </c>
      <c r="L293" s="16" t="s">
        <v>1512</v>
      </c>
      <c r="M293" s="16" t="s">
        <v>1513</v>
      </c>
      <c r="N293" s="15" t="s">
        <v>1501</v>
      </c>
      <c r="O293" s="15" t="s">
        <v>98</v>
      </c>
      <c r="P293" s="15" t="s">
        <v>1502</v>
      </c>
      <c r="Q293" s="15"/>
      <c r="R293" s="15" t="s">
        <v>1514</v>
      </c>
      <c r="S293" s="15" t="str">
        <f>HYPERLINK("http://ovopark.oss-cn-hangzhou.aliyuncs.com/20200909145028909.jpeg?x-oss-process=image/resize,w_700,l_700","查看图片")</f>
        <v>查看图片</v>
      </c>
      <c r="T293" s="15" t="str">
        <f>HYPERLINK("http://ovopark.oss-cn-hangzhou.aliyuncs.com/202009130849552657.jpeg","查看图片")</f>
        <v>查看图片</v>
      </c>
      <c r="U293" s="15" t="s">
        <v>15</v>
      </c>
      <c r="V293" s="15" t="s">
        <v>1515</v>
      </c>
      <c r="W293" s="13" t="s">
        <v>137</v>
      </c>
      <c r="X293" s="13" t="s">
        <v>1516</v>
      </c>
    </row>
    <row r="294" customHeight="1" spans="1:24">
      <c r="A294" s="15" t="s">
        <v>1517</v>
      </c>
      <c r="B294" s="15" t="s">
        <v>1498</v>
      </c>
      <c r="C294" s="15" t="s">
        <v>667</v>
      </c>
      <c r="D294" s="15" t="s">
        <v>1518</v>
      </c>
      <c r="E294" s="15" t="s">
        <v>658</v>
      </c>
      <c r="F294" s="15" t="s">
        <v>89</v>
      </c>
      <c r="G294" s="15" t="s">
        <v>120</v>
      </c>
      <c r="H294" s="15" t="s">
        <v>91</v>
      </c>
      <c r="I294" s="15" t="s">
        <v>92</v>
      </c>
      <c r="J294" s="15" t="s">
        <v>169</v>
      </c>
      <c r="K294" s="16" t="s">
        <v>170</v>
      </c>
      <c r="L294" s="16" t="s">
        <v>1519</v>
      </c>
      <c r="M294" s="16" t="s">
        <v>1520</v>
      </c>
      <c r="N294" s="15" t="s">
        <v>1501</v>
      </c>
      <c r="O294" s="15" t="s">
        <v>98</v>
      </c>
      <c r="P294" s="15" t="s">
        <v>1502</v>
      </c>
      <c r="Q294" s="15"/>
      <c r="R294" s="15" t="s">
        <v>1521</v>
      </c>
      <c r="S294" s="15" t="s">
        <v>114</v>
      </c>
      <c r="T294" s="15" t="str">
        <f>HYPERLINK("http://ovopark.oss-cn-hangzhou.aliyuncs.com/202009130850221419.jpeg","查看图片")</f>
        <v>查看图片</v>
      </c>
      <c r="U294" s="15" t="s">
        <v>15</v>
      </c>
      <c r="V294" s="15" t="s">
        <v>1522</v>
      </c>
      <c r="W294" s="13" t="s">
        <v>137</v>
      </c>
      <c r="X294" s="13" t="s">
        <v>1516</v>
      </c>
    </row>
    <row r="295" customHeight="1" spans="1:24">
      <c r="A295" s="15" t="s">
        <v>1523</v>
      </c>
      <c r="B295" s="15" t="s">
        <v>1498</v>
      </c>
      <c r="C295" s="15" t="s">
        <v>667</v>
      </c>
      <c r="D295" s="15" t="s">
        <v>408</v>
      </c>
      <c r="E295" s="15" t="s">
        <v>119</v>
      </c>
      <c r="F295" s="15" t="s">
        <v>89</v>
      </c>
      <c r="G295" s="15" t="s">
        <v>120</v>
      </c>
      <c r="H295" s="15" t="s">
        <v>91</v>
      </c>
      <c r="I295" s="15" t="s">
        <v>92</v>
      </c>
      <c r="J295" s="15" t="s">
        <v>169</v>
      </c>
      <c r="K295" s="16" t="s">
        <v>170</v>
      </c>
      <c r="L295" s="16" t="s">
        <v>1524</v>
      </c>
      <c r="M295" s="16" t="s">
        <v>1525</v>
      </c>
      <c r="N295" s="15" t="s">
        <v>1501</v>
      </c>
      <c r="O295" s="15" t="s">
        <v>98</v>
      </c>
      <c r="P295" s="15" t="s">
        <v>1502</v>
      </c>
      <c r="Q295" s="15"/>
      <c r="R295" s="15" t="s">
        <v>1526</v>
      </c>
      <c r="S295" s="15" t="s">
        <v>114</v>
      </c>
      <c r="T295" s="15" t="str">
        <f>HYPERLINK("http://ovopark.oss-cn-hangzhou.aliyuncs.com/202009130857266271.jpeg","查看图片")</f>
        <v>查看图片</v>
      </c>
      <c r="U295" s="15" t="s">
        <v>15</v>
      </c>
      <c r="V295" s="15" t="s">
        <v>1527</v>
      </c>
      <c r="W295" s="13" t="s">
        <v>137</v>
      </c>
      <c r="X295" s="13" t="s">
        <v>1516</v>
      </c>
    </row>
    <row r="296" customHeight="1" spans="1:24">
      <c r="A296" s="15" t="s">
        <v>1528</v>
      </c>
      <c r="B296" s="15" t="s">
        <v>1498</v>
      </c>
      <c r="C296" s="15" t="s">
        <v>667</v>
      </c>
      <c r="D296" s="15" t="s">
        <v>322</v>
      </c>
      <c r="E296" s="15" t="s">
        <v>119</v>
      </c>
      <c r="F296" s="15" t="s">
        <v>89</v>
      </c>
      <c r="G296" s="15" t="s">
        <v>120</v>
      </c>
      <c r="H296" s="15" t="s">
        <v>91</v>
      </c>
      <c r="I296" s="15" t="s">
        <v>92</v>
      </c>
      <c r="J296" s="15" t="s">
        <v>169</v>
      </c>
      <c r="K296" s="16" t="s">
        <v>170</v>
      </c>
      <c r="L296" s="16" t="s">
        <v>1529</v>
      </c>
      <c r="M296" s="16" t="s">
        <v>1530</v>
      </c>
      <c r="N296" s="15" t="s">
        <v>1501</v>
      </c>
      <c r="O296" s="15" t="s">
        <v>98</v>
      </c>
      <c r="P296" s="15" t="s">
        <v>1502</v>
      </c>
      <c r="Q296" s="15"/>
      <c r="R296" s="15" t="s">
        <v>1531</v>
      </c>
      <c r="S296" s="15" t="s">
        <v>114</v>
      </c>
      <c r="T296" s="15" t="str">
        <f>HYPERLINK("http://ovopark.oss-cn-hangzhou.aliyuncs.com/202009130919417999.jpeg","查看图片")</f>
        <v>查看图片</v>
      </c>
      <c r="U296" s="15" t="s">
        <v>15</v>
      </c>
      <c r="V296" s="15" t="s">
        <v>1532</v>
      </c>
      <c r="W296" s="13" t="s">
        <v>137</v>
      </c>
      <c r="X296" s="13" t="s">
        <v>1516</v>
      </c>
    </row>
    <row r="297" customHeight="1" spans="1:24">
      <c r="A297" s="15" t="s">
        <v>1533</v>
      </c>
      <c r="B297" s="15" t="s">
        <v>8</v>
      </c>
      <c r="C297" s="15" t="s">
        <v>221</v>
      </c>
      <c r="D297" s="15" t="s">
        <v>222</v>
      </c>
      <c r="E297" s="15" t="s">
        <v>89</v>
      </c>
      <c r="F297" s="15" t="s">
        <v>89</v>
      </c>
      <c r="G297" s="15" t="s">
        <v>120</v>
      </c>
      <c r="H297" s="15" t="s">
        <v>91</v>
      </c>
      <c r="I297" s="15" t="s">
        <v>92</v>
      </c>
      <c r="J297" s="15" t="s">
        <v>264</v>
      </c>
      <c r="K297" s="16" t="s">
        <v>265</v>
      </c>
      <c r="L297" s="16" t="s">
        <v>1534</v>
      </c>
      <c r="M297" s="16" t="s">
        <v>1535</v>
      </c>
      <c r="N297" s="15" t="s">
        <v>1536</v>
      </c>
      <c r="O297" s="15" t="s">
        <v>98</v>
      </c>
      <c r="P297" s="15" t="s">
        <v>186</v>
      </c>
      <c r="Q297" s="15"/>
      <c r="R297" s="15" t="s">
        <v>268</v>
      </c>
      <c r="S297" s="15" t="s">
        <v>114</v>
      </c>
      <c r="T297" s="15" t="str">
        <f>HYPERLINK("http://ovopark.oss-cn-hangzhou.aliyuncs.com/2880_13541846218245_IMG_20200914_165137.jpg","查看图片")</f>
        <v>查看图片</v>
      </c>
      <c r="U297" s="15" t="s">
        <v>7</v>
      </c>
      <c r="V297" s="15" t="s">
        <v>1537</v>
      </c>
      <c r="W297" s="13" t="s">
        <v>137</v>
      </c>
      <c r="X297" s="13" t="s">
        <v>1538</v>
      </c>
    </row>
    <row r="298" customHeight="1" spans="1:24">
      <c r="A298" s="15" t="s">
        <v>1539</v>
      </c>
      <c r="B298" s="15" t="s">
        <v>8</v>
      </c>
      <c r="C298" s="15" t="s">
        <v>221</v>
      </c>
      <c r="D298" s="15" t="s">
        <v>222</v>
      </c>
      <c r="E298" s="15" t="s">
        <v>89</v>
      </c>
      <c r="F298" s="15" t="s">
        <v>89</v>
      </c>
      <c r="G298" s="15" t="s">
        <v>120</v>
      </c>
      <c r="H298" s="15" t="s">
        <v>91</v>
      </c>
      <c r="I298" s="15" t="s">
        <v>92</v>
      </c>
      <c r="J298" s="15" t="s">
        <v>264</v>
      </c>
      <c r="K298" s="16" t="s">
        <v>265</v>
      </c>
      <c r="L298" s="16" t="s">
        <v>1540</v>
      </c>
      <c r="M298" s="16" t="s">
        <v>1541</v>
      </c>
      <c r="N298" s="15" t="s">
        <v>1536</v>
      </c>
      <c r="O298" s="15" t="s">
        <v>98</v>
      </c>
      <c r="P298" s="15" t="s">
        <v>186</v>
      </c>
      <c r="Q298" s="15"/>
      <c r="R298" s="15" t="s">
        <v>268</v>
      </c>
      <c r="S298" s="15" t="s">
        <v>114</v>
      </c>
      <c r="T298" s="15" t="str">
        <f>HYPERLINK("http://ovopark.oss-cn-hangzhou.aliyuncs.com/2880_13550922403660_IMG_20200914_164951.jpg","查看图片")</f>
        <v>查看图片</v>
      </c>
      <c r="U298" s="15" t="s">
        <v>7</v>
      </c>
      <c r="V298" s="15" t="s">
        <v>1542</v>
      </c>
      <c r="W298" s="13" t="s">
        <v>137</v>
      </c>
      <c r="X298" s="13" t="s">
        <v>1538</v>
      </c>
    </row>
    <row r="299" customHeight="1" spans="1:24">
      <c r="A299" s="15" t="s">
        <v>1543</v>
      </c>
      <c r="B299" s="15" t="s">
        <v>8</v>
      </c>
      <c r="C299" s="15" t="s">
        <v>221</v>
      </c>
      <c r="D299" s="15" t="s">
        <v>222</v>
      </c>
      <c r="E299" s="15" t="s">
        <v>89</v>
      </c>
      <c r="F299" s="15" t="s">
        <v>89</v>
      </c>
      <c r="G299" s="15" t="s">
        <v>120</v>
      </c>
      <c r="H299" s="15" t="s">
        <v>91</v>
      </c>
      <c r="I299" s="15" t="s">
        <v>92</v>
      </c>
      <c r="J299" s="15" t="s">
        <v>264</v>
      </c>
      <c r="K299" s="16" t="s">
        <v>265</v>
      </c>
      <c r="L299" s="16" t="s">
        <v>1544</v>
      </c>
      <c r="M299" s="16" t="s">
        <v>1545</v>
      </c>
      <c r="N299" s="15" t="s">
        <v>1536</v>
      </c>
      <c r="O299" s="15" t="s">
        <v>98</v>
      </c>
      <c r="P299" s="15" t="s">
        <v>186</v>
      </c>
      <c r="Q299" s="15"/>
      <c r="R299" s="15" t="s">
        <v>268</v>
      </c>
      <c r="S299" s="15" t="s">
        <v>114</v>
      </c>
      <c r="T299" s="15" t="str">
        <f>HYPERLINK("http://ovopark.oss-cn-hangzhou.aliyuncs.com/2880_13577540789594_IMG_20200914_164951.jpg","查看图片")</f>
        <v>查看图片</v>
      </c>
      <c r="U299" s="15" t="s">
        <v>7</v>
      </c>
      <c r="V299" s="15" t="s">
        <v>1546</v>
      </c>
      <c r="W299" s="13" t="s">
        <v>137</v>
      </c>
      <c r="X299" s="13" t="s">
        <v>1538</v>
      </c>
    </row>
    <row r="300" customHeight="1" spans="1:24">
      <c r="A300" s="15" t="s">
        <v>1547</v>
      </c>
      <c r="B300" s="15" t="s">
        <v>20</v>
      </c>
      <c r="C300" s="15" t="s">
        <v>337</v>
      </c>
      <c r="D300" s="15" t="s">
        <v>338</v>
      </c>
      <c r="E300" s="15" t="s">
        <v>119</v>
      </c>
      <c r="F300" s="15" t="s">
        <v>89</v>
      </c>
      <c r="G300" s="15" t="s">
        <v>120</v>
      </c>
      <c r="H300" s="15" t="s">
        <v>91</v>
      </c>
      <c r="I300" s="15" t="s">
        <v>92</v>
      </c>
      <c r="J300" s="15" t="s">
        <v>214</v>
      </c>
      <c r="K300" s="16" t="s">
        <v>215</v>
      </c>
      <c r="L300" s="16" t="s">
        <v>1548</v>
      </c>
      <c r="M300" s="16" t="s">
        <v>1549</v>
      </c>
      <c r="N300" s="15" t="s">
        <v>1439</v>
      </c>
      <c r="O300" s="15" t="s">
        <v>98</v>
      </c>
      <c r="P300" s="15" t="s">
        <v>186</v>
      </c>
      <c r="Q300" s="15"/>
      <c r="R300" s="15" t="s">
        <v>127</v>
      </c>
      <c r="S300" s="15" t="str">
        <f>HYPERLINK("http://ovopark.oss-cn-hangzhou.aliyuncs.com/1970_137613091716938_compress_137613361784907_image_1599806820494.jpg?x-oss-process=image/resize,w_700,l_700","查看图片")</f>
        <v>查看图片</v>
      </c>
      <c r="T300" s="15" t="str">
        <f>HYPERLINK("http://ovopark.oss-cn-hangzhou.aliyuncs.com/202009141142488418.jpeg","查看图片")</f>
        <v>查看图片</v>
      </c>
      <c r="U300" s="15" t="s">
        <v>15</v>
      </c>
      <c r="V300" s="15" t="s">
        <v>1550</v>
      </c>
      <c r="W300" s="13" t="s">
        <v>102</v>
      </c>
      <c r="X300" s="13" t="s">
        <v>6</v>
      </c>
    </row>
    <row r="301" customHeight="1" spans="1:24">
      <c r="A301" s="15" t="s">
        <v>1551</v>
      </c>
      <c r="B301" s="15" t="s">
        <v>20</v>
      </c>
      <c r="C301" s="15" t="s">
        <v>212</v>
      </c>
      <c r="D301" s="15" t="s">
        <v>1552</v>
      </c>
      <c r="E301" s="15" t="s">
        <v>154</v>
      </c>
      <c r="F301" s="15" t="s">
        <v>89</v>
      </c>
      <c r="G301" s="15" t="s">
        <v>120</v>
      </c>
      <c r="H301" s="15" t="s">
        <v>91</v>
      </c>
      <c r="I301" s="15" t="s">
        <v>92</v>
      </c>
      <c r="J301" s="15" t="s">
        <v>214</v>
      </c>
      <c r="K301" s="16" t="s">
        <v>215</v>
      </c>
      <c r="L301" s="16" t="s">
        <v>1553</v>
      </c>
      <c r="M301" s="16" t="s">
        <v>1554</v>
      </c>
      <c r="N301" s="15" t="s">
        <v>1439</v>
      </c>
      <c r="O301" s="15" t="s">
        <v>98</v>
      </c>
      <c r="P301" s="15" t="s">
        <v>186</v>
      </c>
      <c r="Q301" s="15"/>
      <c r="R301" s="15" t="s">
        <v>127</v>
      </c>
      <c r="S301" s="15" t="str">
        <f>HYPERLINK("http://ovopark.oss-cn-hangzhou.aliyuncs.com/1970_137740767808296_compress_137741132287827_image_1599806942901.jpg?x-oss-process=image/resize,w_700,l_700","查看图片")</f>
        <v>查看图片</v>
      </c>
      <c r="T301" s="15" t="str">
        <f>HYPERLINK("http://ovopark.oss-cn-hangzhou.aliyuncs.com/2020091411520948.jpeg","查看图片")</f>
        <v>查看图片</v>
      </c>
      <c r="U301" s="15" t="s">
        <v>15</v>
      </c>
      <c r="V301" s="15" t="s">
        <v>1555</v>
      </c>
      <c r="W301" s="13" t="s">
        <v>102</v>
      </c>
      <c r="X301" s="13" t="s">
        <v>6</v>
      </c>
    </row>
    <row r="302" customHeight="1" spans="1:24">
      <c r="A302" s="15" t="s">
        <v>1556</v>
      </c>
      <c r="B302" s="15" t="s">
        <v>20</v>
      </c>
      <c r="C302" s="15" t="s">
        <v>212</v>
      </c>
      <c r="D302" s="15" t="s">
        <v>322</v>
      </c>
      <c r="E302" s="15" t="s">
        <v>154</v>
      </c>
      <c r="F302" s="15" t="s">
        <v>89</v>
      </c>
      <c r="G302" s="15" t="s">
        <v>120</v>
      </c>
      <c r="H302" s="15" t="s">
        <v>91</v>
      </c>
      <c r="I302" s="15" t="s">
        <v>92</v>
      </c>
      <c r="J302" s="15" t="s">
        <v>214</v>
      </c>
      <c r="K302" s="16" t="s">
        <v>215</v>
      </c>
      <c r="L302" s="16" t="s">
        <v>1557</v>
      </c>
      <c r="M302" s="16" t="s">
        <v>1558</v>
      </c>
      <c r="N302" s="15" t="s">
        <v>1439</v>
      </c>
      <c r="O302" s="15" t="s">
        <v>98</v>
      </c>
      <c r="P302" s="15" t="s">
        <v>186</v>
      </c>
      <c r="Q302" s="15"/>
      <c r="R302" s="15" t="s">
        <v>127</v>
      </c>
      <c r="S302" s="15" t="str">
        <f>HYPERLINK("http://ovopark.oss-cn-hangzhou.aliyuncs.com/1970_137816218944153_compress_137816529201132_image_1599807029856.jpg?x-oss-process=image/resize,w_700,l_700","查看图片")</f>
        <v>查看图片</v>
      </c>
      <c r="T302" s="15" t="str">
        <f>HYPERLINK("http://ovopark.oss-cn-hangzhou.aliyuncs.com/3636_448023038322260_image_1600066096410.jpg","查看图片")</f>
        <v>查看图片</v>
      </c>
      <c r="U302" s="15" t="s">
        <v>15</v>
      </c>
      <c r="V302" s="15" t="s">
        <v>1559</v>
      </c>
      <c r="W302" s="13" t="s">
        <v>102</v>
      </c>
      <c r="X302" s="13" t="s">
        <v>6</v>
      </c>
    </row>
    <row r="303" customHeight="1" spans="1:24">
      <c r="A303" s="15" t="s">
        <v>1560</v>
      </c>
      <c r="B303" s="15" t="s">
        <v>8</v>
      </c>
      <c r="C303" s="15" t="s">
        <v>221</v>
      </c>
      <c r="D303" s="15" t="s">
        <v>222</v>
      </c>
      <c r="E303" s="15" t="s">
        <v>89</v>
      </c>
      <c r="F303" s="15" t="s">
        <v>89</v>
      </c>
      <c r="G303" s="15" t="s">
        <v>120</v>
      </c>
      <c r="H303" s="15" t="s">
        <v>91</v>
      </c>
      <c r="I303" s="15" t="s">
        <v>92</v>
      </c>
      <c r="J303" s="15" t="s">
        <v>264</v>
      </c>
      <c r="K303" s="16" t="s">
        <v>265</v>
      </c>
      <c r="L303" s="16" t="s">
        <v>1561</v>
      </c>
      <c r="M303" s="16" t="s">
        <v>1562</v>
      </c>
      <c r="N303" s="15" t="s">
        <v>1536</v>
      </c>
      <c r="O303" s="15" t="s">
        <v>98</v>
      </c>
      <c r="P303" s="15" t="s">
        <v>186</v>
      </c>
      <c r="Q303" s="15"/>
      <c r="R303" s="15" t="s">
        <v>268</v>
      </c>
      <c r="S303" s="15" t="s">
        <v>114</v>
      </c>
      <c r="T303" s="15" t="str">
        <f>HYPERLINK("http://ovopark.oss-cn-hangzhou.aliyuncs.com/2880_13559820312513_IMG_20200914_164835.jpg","查看图片")</f>
        <v>查看图片</v>
      </c>
      <c r="U303" s="15" t="s">
        <v>7</v>
      </c>
      <c r="V303" s="15" t="s">
        <v>1563</v>
      </c>
      <c r="W303" s="13" t="s">
        <v>137</v>
      </c>
      <c r="X303" s="13" t="s">
        <v>1538</v>
      </c>
    </row>
    <row r="304" customHeight="1" spans="1:24">
      <c r="A304" s="15" t="s">
        <v>1564</v>
      </c>
      <c r="B304" s="15" t="s">
        <v>8</v>
      </c>
      <c r="C304" s="15" t="s">
        <v>221</v>
      </c>
      <c r="D304" s="15" t="s">
        <v>222</v>
      </c>
      <c r="E304" s="15" t="s">
        <v>89</v>
      </c>
      <c r="F304" s="15" t="s">
        <v>89</v>
      </c>
      <c r="G304" s="15" t="s">
        <v>120</v>
      </c>
      <c r="H304" s="15" t="s">
        <v>91</v>
      </c>
      <c r="I304" s="15" t="s">
        <v>92</v>
      </c>
      <c r="J304" s="15" t="s">
        <v>1422</v>
      </c>
      <c r="K304" s="16" t="s">
        <v>169</v>
      </c>
      <c r="L304" s="16" t="s">
        <v>1565</v>
      </c>
      <c r="M304" s="16" t="s">
        <v>1566</v>
      </c>
      <c r="N304" s="15" t="s">
        <v>1536</v>
      </c>
      <c r="O304" s="15" t="s">
        <v>98</v>
      </c>
      <c r="P304" s="15" t="s">
        <v>186</v>
      </c>
      <c r="Q304" s="15"/>
      <c r="R304" s="15" t="s">
        <v>127</v>
      </c>
      <c r="S304" s="15" t="s">
        <v>114</v>
      </c>
      <c r="T304" s="15" t="str">
        <f>HYPERLINK("http://ovopark.oss-cn-hangzhou.aliyuncs.com/2880_13569191983345_IMG_20200914_164835.jpg","查看图片")</f>
        <v>查看图片</v>
      </c>
      <c r="U304" s="15" t="s">
        <v>7</v>
      </c>
      <c r="V304" s="15" t="s">
        <v>1567</v>
      </c>
      <c r="W304" s="13" t="s">
        <v>137</v>
      </c>
      <c r="X304" s="13" t="s">
        <v>1538</v>
      </c>
    </row>
    <row r="305" customHeight="1" spans="1:24">
      <c r="A305" s="15" t="s">
        <v>1568</v>
      </c>
      <c r="B305" s="15" t="s">
        <v>8</v>
      </c>
      <c r="C305" s="15" t="s">
        <v>221</v>
      </c>
      <c r="D305" s="15" t="s">
        <v>222</v>
      </c>
      <c r="E305" s="15" t="s">
        <v>89</v>
      </c>
      <c r="F305" s="15" t="s">
        <v>89</v>
      </c>
      <c r="G305" s="15" t="s">
        <v>120</v>
      </c>
      <c r="H305" s="15" t="s">
        <v>91</v>
      </c>
      <c r="I305" s="15" t="s">
        <v>92</v>
      </c>
      <c r="J305" s="15" t="s">
        <v>264</v>
      </c>
      <c r="K305" s="16" t="s">
        <v>265</v>
      </c>
      <c r="L305" s="16" t="s">
        <v>1569</v>
      </c>
      <c r="M305" s="16" t="s">
        <v>1570</v>
      </c>
      <c r="N305" s="15" t="s">
        <v>1536</v>
      </c>
      <c r="O305" s="15" t="s">
        <v>98</v>
      </c>
      <c r="P305" s="15" t="s">
        <v>186</v>
      </c>
      <c r="Q305" s="15"/>
      <c r="R305" s="15" t="s">
        <v>268</v>
      </c>
      <c r="S305" s="15" t="s">
        <v>114</v>
      </c>
      <c r="T305" s="15" t="str">
        <f>HYPERLINK("http://ovopark.oss-cn-hangzhou.aliyuncs.com/2880_13587077517717_IMG_20200914_165137.jpg","查看图片")</f>
        <v>查看图片</v>
      </c>
      <c r="U305" s="15" t="s">
        <v>7</v>
      </c>
      <c r="V305" s="15" t="s">
        <v>1571</v>
      </c>
      <c r="W305" s="13" t="s">
        <v>137</v>
      </c>
      <c r="X305" s="13" t="s">
        <v>1538</v>
      </c>
    </row>
    <row r="306" customHeight="1" spans="1:24">
      <c r="A306" s="15" t="s">
        <v>1572</v>
      </c>
      <c r="B306" s="15" t="s">
        <v>8</v>
      </c>
      <c r="C306" s="15" t="s">
        <v>221</v>
      </c>
      <c r="D306" s="15" t="s">
        <v>222</v>
      </c>
      <c r="E306" s="15" t="s">
        <v>89</v>
      </c>
      <c r="F306" s="15" t="s">
        <v>89</v>
      </c>
      <c r="G306" s="15" t="s">
        <v>120</v>
      </c>
      <c r="H306" s="15" t="s">
        <v>91</v>
      </c>
      <c r="I306" s="15" t="s">
        <v>92</v>
      </c>
      <c r="J306" s="15" t="s">
        <v>1422</v>
      </c>
      <c r="K306" s="16" t="s">
        <v>169</v>
      </c>
      <c r="L306" s="16" t="s">
        <v>1573</v>
      </c>
      <c r="M306" s="16" t="s">
        <v>1574</v>
      </c>
      <c r="N306" s="15" t="s">
        <v>1536</v>
      </c>
      <c r="O306" s="15" t="s">
        <v>98</v>
      </c>
      <c r="P306" s="15" t="s">
        <v>186</v>
      </c>
      <c r="Q306" s="15"/>
      <c r="R306" s="15" t="s">
        <v>127</v>
      </c>
      <c r="S306" s="15" t="s">
        <v>114</v>
      </c>
      <c r="T306" s="15" t="str">
        <f>HYPERLINK("http://ovopark.oss-cn-hangzhou.aliyuncs.com/2880_13620887775524_IMG_20200914_164835.jpg","查看图片")</f>
        <v>查看图片</v>
      </c>
      <c r="U306" s="15" t="s">
        <v>7</v>
      </c>
      <c r="V306" s="15" t="s">
        <v>1575</v>
      </c>
      <c r="W306" s="13" t="s">
        <v>137</v>
      </c>
      <c r="X306" s="13" t="s">
        <v>1538</v>
      </c>
    </row>
    <row r="307" customHeight="1" spans="1:24">
      <c r="A307" s="15" t="s">
        <v>1576</v>
      </c>
      <c r="B307" s="15" t="s">
        <v>56</v>
      </c>
      <c r="C307" s="15" t="s">
        <v>152</v>
      </c>
      <c r="D307" s="15" t="s">
        <v>153</v>
      </c>
      <c r="E307" s="15" t="s">
        <v>154</v>
      </c>
      <c r="F307" s="15" t="s">
        <v>89</v>
      </c>
      <c r="G307" s="15" t="s">
        <v>120</v>
      </c>
      <c r="H307" s="15" t="s">
        <v>91</v>
      </c>
      <c r="I307" s="15" t="s">
        <v>92</v>
      </c>
      <c r="J307" s="15" t="s">
        <v>214</v>
      </c>
      <c r="K307" s="16" t="s">
        <v>215</v>
      </c>
      <c r="L307" s="16" t="s">
        <v>1577</v>
      </c>
      <c r="M307" s="16" t="s">
        <v>1578</v>
      </c>
      <c r="N307" s="15" t="s">
        <v>159</v>
      </c>
      <c r="O307" s="15" t="s">
        <v>98</v>
      </c>
      <c r="P307" s="15" t="s">
        <v>160</v>
      </c>
      <c r="Q307" s="15"/>
      <c r="R307" s="15" t="s">
        <v>127</v>
      </c>
      <c r="S307" s="15" t="str">
        <f>HYPERLINK("http://shopweb.tjgdyf.com:8090/snapshot/G_62/D_1330/p_1945/20200911143510.jpg","查看图片")</f>
        <v>查看图片</v>
      </c>
      <c r="T307" s="15" t="s">
        <v>114</v>
      </c>
      <c r="U307" s="15" t="s">
        <v>7</v>
      </c>
      <c r="V307" s="15" t="s">
        <v>1579</v>
      </c>
      <c r="W307" s="13" t="s">
        <v>137</v>
      </c>
      <c r="X307" s="13" t="s">
        <v>162</v>
      </c>
    </row>
    <row r="308" customHeight="1" spans="1:24">
      <c r="A308" s="15" t="s">
        <v>1580</v>
      </c>
      <c r="B308" s="15" t="s">
        <v>56</v>
      </c>
      <c r="C308" s="15" t="s">
        <v>152</v>
      </c>
      <c r="D308" s="15" t="s">
        <v>153</v>
      </c>
      <c r="E308" s="15" t="s">
        <v>154</v>
      </c>
      <c r="F308" s="15" t="s">
        <v>89</v>
      </c>
      <c r="G308" s="15" t="s">
        <v>120</v>
      </c>
      <c r="H308" s="15" t="s">
        <v>91</v>
      </c>
      <c r="I308" s="15" t="s">
        <v>92</v>
      </c>
      <c r="J308" s="15" t="s">
        <v>214</v>
      </c>
      <c r="K308" s="16" t="s">
        <v>215</v>
      </c>
      <c r="L308" s="16" t="s">
        <v>1581</v>
      </c>
      <c r="M308" s="16" t="s">
        <v>1582</v>
      </c>
      <c r="N308" s="15" t="s">
        <v>159</v>
      </c>
      <c r="O308" s="15" t="s">
        <v>98</v>
      </c>
      <c r="P308" s="15" t="s">
        <v>160</v>
      </c>
      <c r="Q308" s="15"/>
      <c r="R308" s="15" t="s">
        <v>127</v>
      </c>
      <c r="S308" s="15" t="str">
        <f>HYPERLINK("http://shopweb.tjgdyf.com:8090/snapshot/G_62/D_1330/p_1947/20200911143523.jpg","查看图片")</f>
        <v>查看图片</v>
      </c>
      <c r="T308" s="15" t="str">
        <f>HYPERLINK("http://ovopark.oss-cn-hangzhou.aliyuncs.com/3310_68639696846858_image_1600138320251.jpg","查看图片")</f>
        <v>查看图片</v>
      </c>
      <c r="U308" s="15" t="s">
        <v>7</v>
      </c>
      <c r="V308" s="15" t="s">
        <v>1583</v>
      </c>
      <c r="W308" s="13" t="s">
        <v>137</v>
      </c>
      <c r="X308" s="13" t="s">
        <v>162</v>
      </c>
    </row>
    <row r="309" customHeight="1" spans="1:24">
      <c r="A309" s="15" t="s">
        <v>1584</v>
      </c>
      <c r="B309" s="15" t="s">
        <v>62</v>
      </c>
      <c r="C309" s="15" t="s">
        <v>337</v>
      </c>
      <c r="D309" s="15" t="s">
        <v>338</v>
      </c>
      <c r="E309" s="15" t="s">
        <v>119</v>
      </c>
      <c r="F309" s="15" t="s">
        <v>89</v>
      </c>
      <c r="G309" s="15" t="s">
        <v>120</v>
      </c>
      <c r="H309" s="15" t="s">
        <v>91</v>
      </c>
      <c r="I309" s="15" t="s">
        <v>92</v>
      </c>
      <c r="J309" s="15" t="s">
        <v>169</v>
      </c>
      <c r="K309" s="16" t="s">
        <v>170</v>
      </c>
      <c r="L309" s="16" t="s">
        <v>1585</v>
      </c>
      <c r="M309" s="16" t="s">
        <v>1586</v>
      </c>
      <c r="N309" s="15" t="s">
        <v>1587</v>
      </c>
      <c r="O309" s="15" t="s">
        <v>98</v>
      </c>
      <c r="P309" s="15" t="s">
        <v>126</v>
      </c>
      <c r="Q309" s="15"/>
      <c r="R309" s="15" t="s">
        <v>1419</v>
      </c>
      <c r="S309" s="15" t="str">
        <f>HYPERLINK("http://ovopark.oss-cn-hangzhou.aliyuncs.com/202009091735476457.jpeg?x-oss-process=image/resize,w_700,l_700","查看图片")</f>
        <v>查看图片</v>
      </c>
      <c r="T309" s="15" t="str">
        <f>HYPERLINK("http://ovopark.oss-cn-hangzhou.aliyuncs.com/1977_396116864278378_image_1600045119393.jpg","查看图片")</f>
        <v>查看图片</v>
      </c>
      <c r="U309" s="15" t="s">
        <v>15</v>
      </c>
      <c r="V309" s="15" t="s">
        <v>1588</v>
      </c>
      <c r="W309" s="13" t="s">
        <v>137</v>
      </c>
      <c r="X309" s="13" t="s">
        <v>1589</v>
      </c>
    </row>
    <row r="310" customHeight="1" spans="1:24">
      <c r="A310" s="15" t="s">
        <v>1590</v>
      </c>
      <c r="B310" s="15" t="s">
        <v>62</v>
      </c>
      <c r="C310" s="15" t="s">
        <v>434</v>
      </c>
      <c r="D310" s="15" t="s">
        <v>1591</v>
      </c>
      <c r="E310" s="15" t="s">
        <v>658</v>
      </c>
      <c r="F310" s="15" t="s">
        <v>89</v>
      </c>
      <c r="G310" s="15" t="s">
        <v>120</v>
      </c>
      <c r="H310" s="15" t="s">
        <v>91</v>
      </c>
      <c r="I310" s="15" t="s">
        <v>92</v>
      </c>
      <c r="J310" s="15" t="s">
        <v>169</v>
      </c>
      <c r="K310" s="16" t="s">
        <v>170</v>
      </c>
      <c r="L310" s="16" t="s">
        <v>1592</v>
      </c>
      <c r="M310" s="16" t="s">
        <v>1593</v>
      </c>
      <c r="N310" s="15" t="s">
        <v>1587</v>
      </c>
      <c r="O310" s="15" t="s">
        <v>98</v>
      </c>
      <c r="P310" s="15" t="s">
        <v>126</v>
      </c>
      <c r="Q310" s="15"/>
      <c r="R310" s="15" t="s">
        <v>1594</v>
      </c>
      <c r="S310" s="15" t="str">
        <f>HYPERLINK("http://ovopark.oss-cn-hangzhou.aliyuncs.com/202009091737307210.jpeg?x-oss-process=image/resize,w_700,l_700","查看图片")</f>
        <v>查看图片</v>
      </c>
      <c r="T310" s="15" t="str">
        <f>HYPERLINK("http://ovopark.oss-cn-hangzhou.aliyuncs.com/1977_396358504752623_image_1600045360689.jpg","查看图片")</f>
        <v>查看图片</v>
      </c>
      <c r="U310" s="15" t="s">
        <v>15</v>
      </c>
      <c r="V310" s="15" t="s">
        <v>1595</v>
      </c>
      <c r="W310" s="13" t="s">
        <v>137</v>
      </c>
      <c r="X310" s="13" t="s">
        <v>1589</v>
      </c>
    </row>
    <row r="311" customHeight="1" spans="1:24">
      <c r="A311" s="15" t="s">
        <v>1596</v>
      </c>
      <c r="B311" s="15" t="s">
        <v>62</v>
      </c>
      <c r="C311" s="15" t="s">
        <v>426</v>
      </c>
      <c r="D311" s="15" t="s">
        <v>1177</v>
      </c>
      <c r="E311" s="15" t="s">
        <v>428</v>
      </c>
      <c r="F311" s="15" t="s">
        <v>89</v>
      </c>
      <c r="G311" s="15" t="s">
        <v>120</v>
      </c>
      <c r="H311" s="15" t="s">
        <v>91</v>
      </c>
      <c r="I311" s="15" t="s">
        <v>92</v>
      </c>
      <c r="J311" s="15" t="s">
        <v>169</v>
      </c>
      <c r="K311" s="16" t="s">
        <v>170</v>
      </c>
      <c r="L311" s="16" t="s">
        <v>1597</v>
      </c>
      <c r="M311" s="16" t="s">
        <v>1598</v>
      </c>
      <c r="N311" s="15" t="s">
        <v>1587</v>
      </c>
      <c r="O311" s="15" t="s">
        <v>98</v>
      </c>
      <c r="P311" s="15" t="s">
        <v>126</v>
      </c>
      <c r="Q311" s="15"/>
      <c r="R311" s="15" t="s">
        <v>1599</v>
      </c>
      <c r="S311" s="15" t="s">
        <v>114</v>
      </c>
      <c r="T311" s="15" t="str">
        <f>HYPERLINK("http://ovopark.oss-cn-hangzhou.aliyuncs.com/1977_396444978421782_image_1600045447799.jpg","查看图片")</f>
        <v>查看图片</v>
      </c>
      <c r="U311" s="15" t="s">
        <v>15</v>
      </c>
      <c r="V311" s="15" t="s">
        <v>1600</v>
      </c>
      <c r="W311" s="13" t="s">
        <v>137</v>
      </c>
      <c r="X311" s="13" t="s">
        <v>1589</v>
      </c>
    </row>
    <row r="312" customHeight="1" spans="1:24">
      <c r="A312" s="15" t="s">
        <v>1601</v>
      </c>
      <c r="B312" s="15" t="s">
        <v>58</v>
      </c>
      <c r="C312" s="15" t="s">
        <v>190</v>
      </c>
      <c r="D312" s="15" t="s">
        <v>191</v>
      </c>
      <c r="E312" s="15" t="s">
        <v>154</v>
      </c>
      <c r="F312" s="15" t="s">
        <v>89</v>
      </c>
      <c r="G312" s="15" t="s">
        <v>120</v>
      </c>
      <c r="H312" s="15" t="s">
        <v>91</v>
      </c>
      <c r="I312" s="15" t="s">
        <v>92</v>
      </c>
      <c r="J312" s="15" t="s">
        <v>169</v>
      </c>
      <c r="K312" s="16" t="s">
        <v>170</v>
      </c>
      <c r="L312" s="16" t="s">
        <v>1602</v>
      </c>
      <c r="M312" s="16" t="s">
        <v>1603</v>
      </c>
      <c r="N312" s="15" t="s">
        <v>1604</v>
      </c>
      <c r="O312" s="15" t="s">
        <v>98</v>
      </c>
      <c r="P312" s="15" t="s">
        <v>160</v>
      </c>
      <c r="Q312" s="15"/>
      <c r="R312" s="15" t="s">
        <v>127</v>
      </c>
      <c r="S312" s="15" t="str">
        <f>HYPERLINK("http://shopweb.tjgdyf.com:8090/snapshot/G_62/D_1303/p_451/20200909230904.jpg","查看图片")</f>
        <v>查看图片</v>
      </c>
      <c r="T312" s="15" t="str">
        <f>HYPERLINK("http://ovopark.oss-cn-hangzhou.aliyuncs.com/3117_63375618718478_image_1599955048853.jpg","查看图片")</f>
        <v>查看图片</v>
      </c>
      <c r="U312" s="15" t="s">
        <v>7</v>
      </c>
      <c r="V312" s="15" t="s">
        <v>1605</v>
      </c>
      <c r="W312" s="13" t="s">
        <v>137</v>
      </c>
      <c r="X312" s="13" t="s">
        <v>1606</v>
      </c>
    </row>
    <row r="313" customHeight="1" spans="1:24">
      <c r="A313" s="15" t="s">
        <v>1607</v>
      </c>
      <c r="B313" s="15" t="s">
        <v>58</v>
      </c>
      <c r="C313" s="15" t="s">
        <v>190</v>
      </c>
      <c r="D313" s="15" t="s">
        <v>191</v>
      </c>
      <c r="E313" s="15" t="s">
        <v>154</v>
      </c>
      <c r="F313" s="15" t="s">
        <v>89</v>
      </c>
      <c r="G313" s="15" t="s">
        <v>120</v>
      </c>
      <c r="H313" s="15" t="s">
        <v>91</v>
      </c>
      <c r="I313" s="15" t="s">
        <v>92</v>
      </c>
      <c r="J313" s="15" t="s">
        <v>169</v>
      </c>
      <c r="K313" s="16" t="s">
        <v>170</v>
      </c>
      <c r="L313" s="16" t="s">
        <v>1608</v>
      </c>
      <c r="M313" s="16" t="s">
        <v>1609</v>
      </c>
      <c r="N313" s="15" t="s">
        <v>1604</v>
      </c>
      <c r="O313" s="15" t="s">
        <v>98</v>
      </c>
      <c r="P313" s="15" t="s">
        <v>160</v>
      </c>
      <c r="Q313" s="15"/>
      <c r="R313" s="15" t="s">
        <v>127</v>
      </c>
      <c r="S313" s="15" t="str">
        <f>HYPERLINK("http://shopweb.tjgdyf.com:8090/snapshot/G_62/D_1303/p_688/20200909230926.jpg","查看图片")</f>
        <v>查看图片</v>
      </c>
      <c r="T313" s="15" t="str">
        <f>HYPERLINK("http://ovopark.oss-cn-hangzhou.aliyuncs.com/3117_63324223074487_image_1599955000179.jpg","查看图片")</f>
        <v>查看图片</v>
      </c>
      <c r="U313" s="15" t="s">
        <v>7</v>
      </c>
      <c r="V313" s="15" t="s">
        <v>1610</v>
      </c>
      <c r="W313" s="13" t="s">
        <v>137</v>
      </c>
      <c r="X313" s="13" t="s">
        <v>1606</v>
      </c>
    </row>
    <row r="314" customHeight="1" spans="1:24">
      <c r="A314" s="15" t="s">
        <v>1611</v>
      </c>
      <c r="B314" s="15" t="s">
        <v>58</v>
      </c>
      <c r="C314" s="15" t="s">
        <v>190</v>
      </c>
      <c r="D314" s="15" t="s">
        <v>283</v>
      </c>
      <c r="E314" s="15" t="s">
        <v>154</v>
      </c>
      <c r="F314" s="15" t="s">
        <v>89</v>
      </c>
      <c r="G314" s="15" t="s">
        <v>120</v>
      </c>
      <c r="H314" s="15" t="s">
        <v>91</v>
      </c>
      <c r="I314" s="15" t="s">
        <v>92</v>
      </c>
      <c r="J314" s="15" t="s">
        <v>169</v>
      </c>
      <c r="K314" s="16" t="s">
        <v>170</v>
      </c>
      <c r="L314" s="16" t="s">
        <v>1612</v>
      </c>
      <c r="M314" s="16" t="s">
        <v>1613</v>
      </c>
      <c r="N314" s="15" t="s">
        <v>1604</v>
      </c>
      <c r="O314" s="15" t="s">
        <v>98</v>
      </c>
      <c r="P314" s="15" t="s">
        <v>160</v>
      </c>
      <c r="Q314" s="15"/>
      <c r="R314" s="15" t="s">
        <v>1614</v>
      </c>
      <c r="S314" s="15" t="str">
        <f>HYPERLINK("http://shopweb.tjgdyf.com:8090/snapshot/G_62/D_1303/p_453/20200909230828.jpg","查看图片")</f>
        <v>查看图片</v>
      </c>
      <c r="T314" s="15" t="str">
        <f>HYPERLINK("http://ovopark.oss-cn-hangzhou.aliyuncs.com/3117_63592706912354_image_1599955268781.jpg","查看图片")</f>
        <v>查看图片</v>
      </c>
      <c r="U314" s="15" t="s">
        <v>7</v>
      </c>
      <c r="V314" s="15" t="s">
        <v>1615</v>
      </c>
      <c r="W314" s="13" t="s">
        <v>137</v>
      </c>
      <c r="X314" s="13" t="s">
        <v>1606</v>
      </c>
    </row>
    <row r="315" customHeight="1" spans="1:24">
      <c r="A315" s="15" t="s">
        <v>1616</v>
      </c>
      <c r="B315" s="15" t="s">
        <v>58</v>
      </c>
      <c r="C315" s="15" t="s">
        <v>190</v>
      </c>
      <c r="D315" s="15" t="s">
        <v>191</v>
      </c>
      <c r="E315" s="15" t="s">
        <v>154</v>
      </c>
      <c r="F315" s="15" t="s">
        <v>89</v>
      </c>
      <c r="G315" s="15" t="s">
        <v>120</v>
      </c>
      <c r="H315" s="15" t="s">
        <v>91</v>
      </c>
      <c r="I315" s="15" t="s">
        <v>92</v>
      </c>
      <c r="J315" s="15" t="s">
        <v>169</v>
      </c>
      <c r="K315" s="16" t="s">
        <v>170</v>
      </c>
      <c r="L315" s="16" t="s">
        <v>1617</v>
      </c>
      <c r="M315" s="16" t="s">
        <v>1618</v>
      </c>
      <c r="N315" s="15" t="s">
        <v>1604</v>
      </c>
      <c r="O315" s="15" t="s">
        <v>98</v>
      </c>
      <c r="P315" s="15" t="s">
        <v>160</v>
      </c>
      <c r="Q315" s="15"/>
      <c r="R315" s="15" t="s">
        <v>127</v>
      </c>
      <c r="S315" s="15" t="str">
        <f>HYPERLINK("http://shopweb.tjgdyf.com:8090/snapshot/G_62/D_1303/p_450/20200909230845.jpg","查看图片")</f>
        <v>查看图片</v>
      </c>
      <c r="T315" s="15" t="str">
        <f>HYPERLINK("http://ovopark.oss-cn-hangzhou.aliyuncs.com/3117_63459828511571_image_1599955134963.jpg","查看图片")</f>
        <v>查看图片</v>
      </c>
      <c r="U315" s="15" t="s">
        <v>7</v>
      </c>
      <c r="V315" s="15" t="s">
        <v>1619</v>
      </c>
      <c r="W315" s="13" t="s">
        <v>137</v>
      </c>
      <c r="X315" s="13" t="s">
        <v>1606</v>
      </c>
    </row>
    <row r="316" customHeight="1" spans="1:24">
      <c r="A316" s="15" t="s">
        <v>1620</v>
      </c>
      <c r="B316" s="15" t="s">
        <v>10</v>
      </c>
      <c r="C316" s="15" t="s">
        <v>221</v>
      </c>
      <c r="D316" s="15" t="s">
        <v>222</v>
      </c>
      <c r="E316" s="15" t="s">
        <v>89</v>
      </c>
      <c r="F316" s="15" t="s">
        <v>89</v>
      </c>
      <c r="G316" s="15" t="s">
        <v>120</v>
      </c>
      <c r="H316" s="15" t="s">
        <v>91</v>
      </c>
      <c r="I316" s="15" t="s">
        <v>92</v>
      </c>
      <c r="J316" s="15" t="s">
        <v>1422</v>
      </c>
      <c r="K316" s="16" t="s">
        <v>169</v>
      </c>
      <c r="L316" s="16" t="s">
        <v>1621</v>
      </c>
      <c r="M316" s="16" t="s">
        <v>1622</v>
      </c>
      <c r="N316" s="15" t="s">
        <v>561</v>
      </c>
      <c r="O316" s="15" t="s">
        <v>98</v>
      </c>
      <c r="P316" s="15" t="s">
        <v>186</v>
      </c>
      <c r="Q316" s="15"/>
      <c r="R316" s="15" t="s">
        <v>127</v>
      </c>
      <c r="S316" s="15" t="s">
        <v>114</v>
      </c>
      <c r="T316" s="15" t="str">
        <f>HYPERLINK("http://ovopark.oss-cn-hangzhou.aliyuncs.com/2087_255580777201005_image_1599883993607.jpg","查看图片")</f>
        <v>查看图片</v>
      </c>
      <c r="U316" s="15" t="s">
        <v>7</v>
      </c>
      <c r="V316" s="15" t="s">
        <v>1623</v>
      </c>
      <c r="W316" s="13" t="s">
        <v>137</v>
      </c>
      <c r="X316" s="13" t="s">
        <v>563</v>
      </c>
    </row>
    <row r="317" customHeight="1" spans="1:24">
      <c r="A317" s="15" t="s">
        <v>1624</v>
      </c>
      <c r="B317" s="15" t="s">
        <v>47</v>
      </c>
      <c r="C317" s="15" t="s">
        <v>746</v>
      </c>
      <c r="D317" s="15" t="s">
        <v>747</v>
      </c>
      <c r="E317" s="15" t="s">
        <v>119</v>
      </c>
      <c r="F317" s="15" t="s">
        <v>89</v>
      </c>
      <c r="G317" s="15" t="s">
        <v>120</v>
      </c>
      <c r="H317" s="15" t="s">
        <v>91</v>
      </c>
      <c r="I317" s="15" t="s">
        <v>92</v>
      </c>
      <c r="J317" s="15" t="s">
        <v>1625</v>
      </c>
      <c r="K317" s="16" t="s">
        <v>1626</v>
      </c>
      <c r="L317" s="16" t="s">
        <v>1627</v>
      </c>
      <c r="M317" s="16" t="s">
        <v>1628</v>
      </c>
      <c r="N317" s="15" t="s">
        <v>1629</v>
      </c>
      <c r="O317" s="15" t="s">
        <v>98</v>
      </c>
      <c r="P317" s="15" t="s">
        <v>750</v>
      </c>
      <c r="Q317" s="15"/>
      <c r="R317" s="15" t="s">
        <v>127</v>
      </c>
      <c r="S317" s="15" t="str">
        <f>HYPERLINK("http://shopweb.tjgdyf.com:8090/snapshot/G_62/D_1289/p_185/0014101778dd_20200905080209_1.jpg","查看图片")</f>
        <v>查看图片</v>
      </c>
      <c r="T317" s="15" t="s">
        <v>114</v>
      </c>
      <c r="U317" s="15" t="s">
        <v>7</v>
      </c>
      <c r="V317" s="15" t="s">
        <v>1630</v>
      </c>
      <c r="W317" s="13" t="s">
        <v>137</v>
      </c>
      <c r="X317" s="15" t="s">
        <v>1629</v>
      </c>
    </row>
    <row r="318" customHeight="1" spans="1:24">
      <c r="A318" s="15" t="s">
        <v>1631</v>
      </c>
      <c r="B318" s="15" t="s">
        <v>25</v>
      </c>
      <c r="C318" s="15" t="s">
        <v>337</v>
      </c>
      <c r="D318" s="15" t="s">
        <v>338</v>
      </c>
      <c r="E318" s="15" t="s">
        <v>119</v>
      </c>
      <c r="F318" s="15" t="s">
        <v>89</v>
      </c>
      <c r="G318" s="15" t="s">
        <v>120</v>
      </c>
      <c r="H318" s="15" t="s">
        <v>91</v>
      </c>
      <c r="I318" s="15" t="s">
        <v>92</v>
      </c>
      <c r="J318" s="15" t="s">
        <v>207</v>
      </c>
      <c r="K318" s="16" t="s">
        <v>264</v>
      </c>
      <c r="L318" s="16" t="s">
        <v>1632</v>
      </c>
      <c r="M318" s="16" t="s">
        <v>1633</v>
      </c>
      <c r="N318" s="15" t="s">
        <v>1634</v>
      </c>
      <c r="O318" s="15" t="s">
        <v>98</v>
      </c>
      <c r="P318" s="15" t="s">
        <v>126</v>
      </c>
      <c r="Q318" s="15"/>
      <c r="R318" s="15" t="s">
        <v>1419</v>
      </c>
      <c r="S318" s="15" t="str">
        <f>HYPERLINK("http://ovopark.oss-cn-hangzhou.aliyuncs.com/202009071024178908.jpeg?x-oss-process=image/resize,w_700,l_700","查看图片")</f>
        <v>查看图片</v>
      </c>
      <c r="T318" s="15" t="str">
        <f>HYPERLINK("http://ovopark.oss-cn-hangzhou.aliyuncs.com/5571_18025174720509_image_1599723938077.jpg","查看图片")</f>
        <v>查看图片</v>
      </c>
      <c r="U318" s="15" t="s">
        <v>15</v>
      </c>
      <c r="V318" s="15" t="s">
        <v>1635</v>
      </c>
      <c r="W318" s="13" t="s">
        <v>102</v>
      </c>
      <c r="X318" s="13" t="s">
        <v>22</v>
      </c>
    </row>
    <row r="319" customHeight="1" spans="1:24">
      <c r="A319" s="15" t="s">
        <v>1636</v>
      </c>
      <c r="B319" s="15" t="s">
        <v>47</v>
      </c>
      <c r="C319" s="15" t="s">
        <v>152</v>
      </c>
      <c r="D319" s="15" t="s">
        <v>153</v>
      </c>
      <c r="E319" s="15" t="s">
        <v>154</v>
      </c>
      <c r="F319" s="15" t="s">
        <v>89</v>
      </c>
      <c r="G319" s="15" t="s">
        <v>120</v>
      </c>
      <c r="H319" s="15" t="s">
        <v>91</v>
      </c>
      <c r="I319" s="15" t="s">
        <v>92</v>
      </c>
      <c r="J319" s="15" t="s">
        <v>1637</v>
      </c>
      <c r="K319" s="16" t="s">
        <v>1422</v>
      </c>
      <c r="L319" s="16" t="s">
        <v>1638</v>
      </c>
      <c r="M319" s="16" t="s">
        <v>1639</v>
      </c>
      <c r="N319" s="15" t="s">
        <v>1629</v>
      </c>
      <c r="O319" s="15" t="s">
        <v>98</v>
      </c>
      <c r="P319" s="15" t="s">
        <v>160</v>
      </c>
      <c r="Q319" s="15"/>
      <c r="R319" s="15" t="s">
        <v>1640</v>
      </c>
      <c r="S319" s="15" t="str">
        <f>HYPERLINK("http://shopweb.tjgdyf.com:8090/snapshot/G_62/D_1289/p_188/20200903230854.jpg","查看图片")</f>
        <v>查看图片</v>
      </c>
      <c r="T319" s="15" t="s">
        <v>114</v>
      </c>
      <c r="U319" s="15" t="s">
        <v>7</v>
      </c>
      <c r="V319" s="15" t="s">
        <v>1641</v>
      </c>
      <c r="W319" s="13" t="s">
        <v>137</v>
      </c>
      <c r="X319" s="15" t="s">
        <v>1629</v>
      </c>
    </row>
    <row r="320" customHeight="1" spans="1:24">
      <c r="A320" s="15" t="s">
        <v>1642</v>
      </c>
      <c r="B320" s="15" t="s">
        <v>8</v>
      </c>
      <c r="C320" s="15" t="s">
        <v>337</v>
      </c>
      <c r="D320" s="15" t="s">
        <v>338</v>
      </c>
      <c r="E320" s="15" t="s">
        <v>119</v>
      </c>
      <c r="F320" s="15" t="s">
        <v>89</v>
      </c>
      <c r="G320" s="15" t="s">
        <v>120</v>
      </c>
      <c r="H320" s="15" t="s">
        <v>91</v>
      </c>
      <c r="I320" s="15" t="s">
        <v>92</v>
      </c>
      <c r="J320" s="15" t="s">
        <v>93</v>
      </c>
      <c r="K320" s="16" t="s">
        <v>94</v>
      </c>
      <c r="L320" s="16" t="s">
        <v>1643</v>
      </c>
      <c r="M320" s="16" t="s">
        <v>1644</v>
      </c>
      <c r="N320" s="15" t="s">
        <v>1645</v>
      </c>
      <c r="O320" s="15" t="s">
        <v>98</v>
      </c>
      <c r="P320" s="15" t="s">
        <v>186</v>
      </c>
      <c r="Q320" s="15"/>
      <c r="R320" s="15" t="s">
        <v>127</v>
      </c>
      <c r="S320" s="15" t="str">
        <f>HYPERLINK("http://ovopark.oss-cn-hangzhou.aliyuncs.com/1970_234035601537391_compress_234036727046401_image_1598950361009.jpg?x-oss-process=image/resize,w_700,l_700","查看图片")</f>
        <v>查看图片</v>
      </c>
      <c r="T320" s="15" t="str">
        <f>HYPERLINK("http://ovopark.oss-cn-hangzhou.aliyuncs.com/2168_209849220238168_image_1599827951809.jpg","查看图片")</f>
        <v>查看图片</v>
      </c>
      <c r="U320" s="15" t="s">
        <v>15</v>
      </c>
      <c r="V320" s="15" t="s">
        <v>1646</v>
      </c>
      <c r="W320" s="13" t="s">
        <v>137</v>
      </c>
      <c r="X320" s="13" t="s">
        <v>1647</v>
      </c>
    </row>
    <row r="321" customHeight="1" spans="1:24">
      <c r="A321" s="15" t="s">
        <v>1648</v>
      </c>
      <c r="B321" s="15" t="s">
        <v>20</v>
      </c>
      <c r="C321" s="15" t="s">
        <v>1397</v>
      </c>
      <c r="D321" s="15" t="s">
        <v>1649</v>
      </c>
      <c r="E321" s="15" t="s">
        <v>89</v>
      </c>
      <c r="F321" s="15" t="s">
        <v>89</v>
      </c>
      <c r="G321" s="15" t="s">
        <v>120</v>
      </c>
      <c r="H321" s="15" t="s">
        <v>91</v>
      </c>
      <c r="I321" s="15" t="s">
        <v>92</v>
      </c>
      <c r="J321" s="15" t="s">
        <v>207</v>
      </c>
      <c r="K321" s="16" t="s">
        <v>264</v>
      </c>
      <c r="L321" s="16" t="s">
        <v>1650</v>
      </c>
      <c r="M321" s="16" t="s">
        <v>1651</v>
      </c>
      <c r="N321" s="15" t="s">
        <v>1439</v>
      </c>
      <c r="O321" s="15" t="s">
        <v>98</v>
      </c>
      <c r="P321" s="15" t="s">
        <v>1401</v>
      </c>
      <c r="Q321" s="15"/>
      <c r="R321" s="15" t="s">
        <v>127</v>
      </c>
      <c r="S321" s="15" t="str">
        <f>HYPERLINK("http://shopweb.tjgdyf.com:8090/snapshot/G_62/D_1304/p_1015/20200907162434.jpg","查看图片")</f>
        <v>查看图片</v>
      </c>
      <c r="T321" s="15" t="str">
        <f>HYPERLINK("http://ovopark.oss-cn-hangzhou.aliyuncs.com/202009101318112183.jpeg","查看图片")</f>
        <v>查看图片</v>
      </c>
      <c r="U321" s="15" t="s">
        <v>7</v>
      </c>
      <c r="V321" s="15" t="s">
        <v>1652</v>
      </c>
      <c r="W321" s="13" t="s">
        <v>102</v>
      </c>
      <c r="X321" s="13" t="s">
        <v>1653</v>
      </c>
    </row>
    <row r="322" customHeight="1" spans="1:24">
      <c r="A322" s="15" t="s">
        <v>1654</v>
      </c>
      <c r="B322" s="15" t="s">
        <v>21</v>
      </c>
      <c r="C322" s="15" t="s">
        <v>1397</v>
      </c>
      <c r="D322" s="15" t="s">
        <v>1649</v>
      </c>
      <c r="E322" s="15" t="s">
        <v>89</v>
      </c>
      <c r="F322" s="15" t="s">
        <v>89</v>
      </c>
      <c r="G322" s="15" t="s">
        <v>120</v>
      </c>
      <c r="H322" s="15" t="s">
        <v>91</v>
      </c>
      <c r="I322" s="15" t="s">
        <v>92</v>
      </c>
      <c r="J322" s="15" t="s">
        <v>94</v>
      </c>
      <c r="K322" s="16" t="s">
        <v>207</v>
      </c>
      <c r="L322" s="16" t="s">
        <v>1655</v>
      </c>
      <c r="M322" s="16" t="s">
        <v>1656</v>
      </c>
      <c r="N322" s="15" t="s">
        <v>195</v>
      </c>
      <c r="O322" s="15" t="s">
        <v>98</v>
      </c>
      <c r="P322" s="15" t="s">
        <v>1401</v>
      </c>
      <c r="Q322" s="15"/>
      <c r="R322" s="15" t="s">
        <v>127</v>
      </c>
      <c r="S322" s="15" t="str">
        <f>HYPERLINK("http://shopweb.tjgdyf.com:8090/snapshot/G_62/D_1311/p_781/00141018a2a1_20200902090142_8.jpg","查看图片")</f>
        <v>查看图片</v>
      </c>
      <c r="T322" s="15" t="str">
        <f>HYPERLINK("http://ovopark.oss-cn-hangzhou.aliyuncs.com/202009101455202319.jpeg","查看图片")</f>
        <v>查看图片</v>
      </c>
      <c r="U322" s="15" t="s">
        <v>7</v>
      </c>
      <c r="V322" s="15" t="s">
        <v>1657</v>
      </c>
      <c r="W322" s="13" t="s">
        <v>137</v>
      </c>
      <c r="X322" s="13" t="s">
        <v>197</v>
      </c>
    </row>
    <row r="323" customHeight="1" spans="1:24">
      <c r="A323" s="15" t="s">
        <v>1658</v>
      </c>
      <c r="B323" s="15" t="s">
        <v>20</v>
      </c>
      <c r="C323" s="15" t="s">
        <v>1659</v>
      </c>
      <c r="D323" s="15" t="s">
        <v>1660</v>
      </c>
      <c r="E323" s="15" t="s">
        <v>89</v>
      </c>
      <c r="F323" s="15" t="s">
        <v>89</v>
      </c>
      <c r="G323" s="15" t="s">
        <v>120</v>
      </c>
      <c r="H323" s="15" t="s">
        <v>91</v>
      </c>
      <c r="I323" s="15" t="s">
        <v>92</v>
      </c>
      <c r="J323" s="15" t="s">
        <v>207</v>
      </c>
      <c r="K323" s="16" t="s">
        <v>264</v>
      </c>
      <c r="L323" s="16" t="s">
        <v>1661</v>
      </c>
      <c r="M323" s="16" t="s">
        <v>1662</v>
      </c>
      <c r="N323" s="15" t="s">
        <v>1439</v>
      </c>
      <c r="O323" s="15" t="s">
        <v>98</v>
      </c>
      <c r="P323" s="15" t="s">
        <v>1401</v>
      </c>
      <c r="Q323" s="15"/>
      <c r="R323" s="15" t="s">
        <v>127</v>
      </c>
      <c r="S323" s="15" t="str">
        <f>HYPERLINK("http://shopweb.tjgdyf.com:8090/snapshot/G_62/D_1304/p_1015/20200907162434.jpg","查看图片")</f>
        <v>查看图片</v>
      </c>
      <c r="T323" s="15" t="str">
        <f>HYPERLINK("http://ovopark.oss-cn-hangzhou.aliyuncs.com/202009101317483907.jpeg","查看图片")</f>
        <v>查看图片</v>
      </c>
      <c r="U323" s="15" t="s">
        <v>7</v>
      </c>
      <c r="V323" s="15" t="s">
        <v>1663</v>
      </c>
      <c r="W323" s="13" t="s">
        <v>102</v>
      </c>
      <c r="X323" s="13" t="s">
        <v>1653</v>
      </c>
    </row>
    <row r="324" customHeight="1" spans="1:24">
      <c r="A324" s="15" t="s">
        <v>1664</v>
      </c>
      <c r="B324" s="15" t="s">
        <v>36</v>
      </c>
      <c r="C324" s="15" t="s">
        <v>337</v>
      </c>
      <c r="D324" s="15" t="s">
        <v>457</v>
      </c>
      <c r="E324" s="15" t="s">
        <v>428</v>
      </c>
      <c r="F324" s="15" t="s">
        <v>89</v>
      </c>
      <c r="G324" s="15" t="s">
        <v>120</v>
      </c>
      <c r="H324" s="15" t="s">
        <v>91</v>
      </c>
      <c r="I324" s="15" t="s">
        <v>92</v>
      </c>
      <c r="J324" s="15" t="s">
        <v>1422</v>
      </c>
      <c r="K324" s="16" t="s">
        <v>169</v>
      </c>
      <c r="L324" s="16" t="s">
        <v>1665</v>
      </c>
      <c r="M324" s="16" t="s">
        <v>1666</v>
      </c>
      <c r="N324" s="15" t="s">
        <v>1667</v>
      </c>
      <c r="O324" s="15" t="s">
        <v>98</v>
      </c>
      <c r="P324" s="15" t="s">
        <v>186</v>
      </c>
      <c r="Q324" s="15"/>
      <c r="R324" s="15" t="s">
        <v>1668</v>
      </c>
      <c r="S324" s="15" t="s">
        <v>114</v>
      </c>
      <c r="T324" s="15" t="str">
        <f>HYPERLINK("http://ovopark.oss-cn-hangzhou.aliyuncs.com/2058_300349238983444_image_1599727223996.jpg","查看图片")</f>
        <v>查看图片</v>
      </c>
      <c r="U324" s="15" t="s">
        <v>15</v>
      </c>
      <c r="V324" s="15" t="s">
        <v>1669</v>
      </c>
      <c r="W324" s="13" t="s">
        <v>137</v>
      </c>
      <c r="X324" s="13" t="s">
        <v>1670</v>
      </c>
    </row>
    <row r="325" customHeight="1" spans="1:24">
      <c r="A325" s="15" t="s">
        <v>1671</v>
      </c>
      <c r="B325" s="15" t="s">
        <v>10</v>
      </c>
      <c r="C325" s="15" t="s">
        <v>221</v>
      </c>
      <c r="D325" s="15" t="s">
        <v>222</v>
      </c>
      <c r="E325" s="15" t="s">
        <v>89</v>
      </c>
      <c r="F325" s="15" t="s">
        <v>89</v>
      </c>
      <c r="G325" s="15" t="s">
        <v>120</v>
      </c>
      <c r="H325" s="15" t="s">
        <v>91</v>
      </c>
      <c r="I325" s="15" t="s">
        <v>92</v>
      </c>
      <c r="J325" s="15" t="s">
        <v>1422</v>
      </c>
      <c r="K325" s="16" t="s">
        <v>169</v>
      </c>
      <c r="L325" s="16" t="s">
        <v>1672</v>
      </c>
      <c r="M325" s="16" t="s">
        <v>1673</v>
      </c>
      <c r="N325" s="15" t="s">
        <v>561</v>
      </c>
      <c r="O325" s="15" t="s">
        <v>98</v>
      </c>
      <c r="P325" s="15" t="s">
        <v>186</v>
      </c>
      <c r="Q325" s="15"/>
      <c r="R325" s="15" t="s">
        <v>127</v>
      </c>
      <c r="S325" s="15" t="s">
        <v>114</v>
      </c>
      <c r="T325" s="15" t="str">
        <f>HYPERLINK("http://ovopark.oss-cn-hangzhou.aliyuncs.com/202009101039134238.jpeg","查看图片")</f>
        <v>查看图片</v>
      </c>
      <c r="U325" s="15" t="s">
        <v>7</v>
      </c>
      <c r="V325" s="15" t="s">
        <v>1674</v>
      </c>
      <c r="W325" s="13" t="s">
        <v>137</v>
      </c>
      <c r="X325" s="13" t="s">
        <v>563</v>
      </c>
    </row>
    <row r="326" customHeight="1" spans="1:24">
      <c r="A326" s="15" t="s">
        <v>1675</v>
      </c>
      <c r="B326" s="15" t="s">
        <v>10</v>
      </c>
      <c r="C326" s="15" t="s">
        <v>221</v>
      </c>
      <c r="D326" s="15" t="s">
        <v>222</v>
      </c>
      <c r="E326" s="15" t="s">
        <v>89</v>
      </c>
      <c r="F326" s="15" t="s">
        <v>89</v>
      </c>
      <c r="G326" s="15" t="s">
        <v>120</v>
      </c>
      <c r="H326" s="15" t="s">
        <v>91</v>
      </c>
      <c r="I326" s="15" t="s">
        <v>92</v>
      </c>
      <c r="J326" s="15" t="s">
        <v>1422</v>
      </c>
      <c r="K326" s="16" t="s">
        <v>169</v>
      </c>
      <c r="L326" s="16" t="s">
        <v>1676</v>
      </c>
      <c r="M326" s="16" t="s">
        <v>1677</v>
      </c>
      <c r="N326" s="15" t="s">
        <v>561</v>
      </c>
      <c r="O326" s="15" t="s">
        <v>98</v>
      </c>
      <c r="P326" s="15" t="s">
        <v>186</v>
      </c>
      <c r="Q326" s="15"/>
      <c r="R326" s="15" t="s">
        <v>127</v>
      </c>
      <c r="S326" s="15" t="s">
        <v>114</v>
      </c>
      <c r="T326" s="15" t="str">
        <f>HYPERLINK("http://ovopark.oss-cn-hangzhou.aliyuncs.com/202009101039339012.jpeg","查看图片")</f>
        <v>查看图片</v>
      </c>
      <c r="U326" s="15" t="s">
        <v>7</v>
      </c>
      <c r="V326" s="15" t="s">
        <v>1678</v>
      </c>
      <c r="W326" s="13" t="s">
        <v>137</v>
      </c>
      <c r="X326" s="13" t="s">
        <v>563</v>
      </c>
    </row>
    <row r="327" customHeight="1" spans="1:24">
      <c r="A327" s="15" t="s">
        <v>1679</v>
      </c>
      <c r="B327" s="15" t="s">
        <v>10</v>
      </c>
      <c r="C327" s="15" t="s">
        <v>221</v>
      </c>
      <c r="D327" s="15" t="s">
        <v>222</v>
      </c>
      <c r="E327" s="15" t="s">
        <v>89</v>
      </c>
      <c r="F327" s="15" t="s">
        <v>89</v>
      </c>
      <c r="G327" s="15" t="s">
        <v>120</v>
      </c>
      <c r="H327" s="15" t="s">
        <v>91</v>
      </c>
      <c r="I327" s="15" t="s">
        <v>92</v>
      </c>
      <c r="J327" s="15" t="s">
        <v>1422</v>
      </c>
      <c r="K327" s="16" t="s">
        <v>169</v>
      </c>
      <c r="L327" s="16" t="s">
        <v>1680</v>
      </c>
      <c r="M327" s="16" t="s">
        <v>1681</v>
      </c>
      <c r="N327" s="15" t="s">
        <v>561</v>
      </c>
      <c r="O327" s="15" t="s">
        <v>98</v>
      </c>
      <c r="P327" s="15" t="s">
        <v>186</v>
      </c>
      <c r="Q327" s="15"/>
      <c r="R327" s="15" t="s">
        <v>127</v>
      </c>
      <c r="S327" s="15" t="s">
        <v>114</v>
      </c>
      <c r="T327" s="15" t="str">
        <f>HYPERLINK("http://ovopark.oss-cn-hangzhou.aliyuncs.com/202009101040326260.jpeg","查看图片")</f>
        <v>查看图片</v>
      </c>
      <c r="U327" s="15" t="s">
        <v>7</v>
      </c>
      <c r="V327" s="15" t="s">
        <v>1682</v>
      </c>
      <c r="W327" s="13" t="s">
        <v>137</v>
      </c>
      <c r="X327" s="13" t="s">
        <v>563</v>
      </c>
    </row>
    <row r="328" customHeight="1" spans="1:24">
      <c r="A328" s="15" t="s">
        <v>1683</v>
      </c>
      <c r="B328" s="15" t="s">
        <v>28</v>
      </c>
      <c r="C328" s="15" t="s">
        <v>221</v>
      </c>
      <c r="D328" s="15" t="s">
        <v>222</v>
      </c>
      <c r="E328" s="15" t="s">
        <v>89</v>
      </c>
      <c r="F328" s="15" t="s">
        <v>89</v>
      </c>
      <c r="G328" s="15" t="s">
        <v>120</v>
      </c>
      <c r="H328" s="15" t="s">
        <v>91</v>
      </c>
      <c r="I328" s="15" t="s">
        <v>92</v>
      </c>
      <c r="J328" s="15" t="s">
        <v>1422</v>
      </c>
      <c r="K328" s="16" t="s">
        <v>169</v>
      </c>
      <c r="L328" s="16" t="s">
        <v>1684</v>
      </c>
      <c r="M328" s="16" t="s">
        <v>1685</v>
      </c>
      <c r="N328" s="15" t="s">
        <v>333</v>
      </c>
      <c r="O328" s="15" t="s">
        <v>98</v>
      </c>
      <c r="P328" s="15" t="s">
        <v>186</v>
      </c>
      <c r="Q328" s="15"/>
      <c r="R328" s="15" t="s">
        <v>127</v>
      </c>
      <c r="S328" s="15" t="s">
        <v>114</v>
      </c>
      <c r="T328" s="15" t="s">
        <v>114</v>
      </c>
      <c r="U328" s="15" t="s">
        <v>7</v>
      </c>
      <c r="V328" s="15" t="s">
        <v>1686</v>
      </c>
      <c r="W328" s="13" t="s">
        <v>137</v>
      </c>
      <c r="X328" s="13" t="s">
        <v>335</v>
      </c>
    </row>
    <row r="329" customHeight="1" spans="1:24">
      <c r="A329" s="15" t="s">
        <v>1687</v>
      </c>
      <c r="B329" s="15" t="s">
        <v>10</v>
      </c>
      <c r="C329" s="15" t="s">
        <v>221</v>
      </c>
      <c r="D329" s="15" t="s">
        <v>222</v>
      </c>
      <c r="E329" s="15" t="s">
        <v>89</v>
      </c>
      <c r="F329" s="15" t="s">
        <v>89</v>
      </c>
      <c r="G329" s="15" t="s">
        <v>120</v>
      </c>
      <c r="H329" s="15" t="s">
        <v>91</v>
      </c>
      <c r="I329" s="15" t="s">
        <v>92</v>
      </c>
      <c r="J329" s="15" t="s">
        <v>1422</v>
      </c>
      <c r="K329" s="16" t="s">
        <v>169</v>
      </c>
      <c r="L329" s="16" t="s">
        <v>1688</v>
      </c>
      <c r="M329" s="16" t="s">
        <v>1689</v>
      </c>
      <c r="N329" s="15" t="s">
        <v>561</v>
      </c>
      <c r="O329" s="15" t="s">
        <v>98</v>
      </c>
      <c r="P329" s="15" t="s">
        <v>186</v>
      </c>
      <c r="Q329" s="15"/>
      <c r="R329" s="15" t="s">
        <v>127</v>
      </c>
      <c r="S329" s="15" t="s">
        <v>114</v>
      </c>
      <c r="T329" s="15" t="str">
        <f>HYPERLINK("http://ovopark.oss-cn-hangzhou.aliyuncs.com/202009101040531973.jpeg","查看图片")</f>
        <v>查看图片</v>
      </c>
      <c r="U329" s="15" t="s">
        <v>7</v>
      </c>
      <c r="V329" s="15" t="s">
        <v>1690</v>
      </c>
      <c r="W329" s="13" t="s">
        <v>137</v>
      </c>
      <c r="X329" s="13" t="s">
        <v>563</v>
      </c>
    </row>
    <row r="330" customHeight="1" spans="1:24">
      <c r="A330" s="15" t="s">
        <v>1691</v>
      </c>
      <c r="B330" s="15" t="s">
        <v>21</v>
      </c>
      <c r="C330" s="15" t="s">
        <v>1397</v>
      </c>
      <c r="D330" s="15" t="s">
        <v>1398</v>
      </c>
      <c r="E330" s="15" t="s">
        <v>89</v>
      </c>
      <c r="F330" s="15" t="s">
        <v>89</v>
      </c>
      <c r="G330" s="15" t="s">
        <v>120</v>
      </c>
      <c r="H330" s="15" t="s">
        <v>91</v>
      </c>
      <c r="I330" s="15" t="s">
        <v>92</v>
      </c>
      <c r="J330" s="15" t="s">
        <v>94</v>
      </c>
      <c r="K330" s="16" t="s">
        <v>207</v>
      </c>
      <c r="L330" s="16" t="s">
        <v>1692</v>
      </c>
      <c r="M330" s="16" t="s">
        <v>1693</v>
      </c>
      <c r="N330" s="15" t="s">
        <v>195</v>
      </c>
      <c r="O330" s="15" t="s">
        <v>98</v>
      </c>
      <c r="P330" s="15" t="s">
        <v>186</v>
      </c>
      <c r="Q330" s="15"/>
      <c r="R330" s="15" t="s">
        <v>127</v>
      </c>
      <c r="S330" s="15" t="str">
        <f>HYPERLINK("http://shopweb.tjgdyf.com:8090/snapshot/G_62/D_1311/p_786/20200904142825.jpg","查看图片")</f>
        <v>查看图片</v>
      </c>
      <c r="T330" s="15" t="str">
        <f>HYPERLINK("http://ovopark.oss-cn-hangzhou.aliyuncs.com/202009101448246223.jpeg","查看图片")</f>
        <v>查看图片</v>
      </c>
      <c r="U330" s="15" t="s">
        <v>7</v>
      </c>
      <c r="V330" s="15" t="s">
        <v>1694</v>
      </c>
      <c r="W330" s="13" t="s">
        <v>137</v>
      </c>
      <c r="X330" s="13" t="s">
        <v>197</v>
      </c>
    </row>
    <row r="331" customHeight="1" spans="1:24">
      <c r="A331" s="15" t="s">
        <v>1695</v>
      </c>
      <c r="B331" s="15" t="s">
        <v>21</v>
      </c>
      <c r="C331" s="15" t="s">
        <v>212</v>
      </c>
      <c r="D331" s="15" t="s">
        <v>213</v>
      </c>
      <c r="E331" s="15" t="s">
        <v>154</v>
      </c>
      <c r="F331" s="15" t="s">
        <v>89</v>
      </c>
      <c r="G331" s="15" t="s">
        <v>120</v>
      </c>
      <c r="H331" s="15" t="s">
        <v>91</v>
      </c>
      <c r="I331" s="15" t="s">
        <v>92</v>
      </c>
      <c r="J331" s="15" t="s">
        <v>94</v>
      </c>
      <c r="K331" s="16" t="s">
        <v>207</v>
      </c>
      <c r="L331" s="16" t="s">
        <v>1696</v>
      </c>
      <c r="M331" s="16" t="s">
        <v>1697</v>
      </c>
      <c r="N331" s="15" t="s">
        <v>195</v>
      </c>
      <c r="O331" s="15" t="s">
        <v>98</v>
      </c>
      <c r="P331" s="15" t="s">
        <v>186</v>
      </c>
      <c r="Q331" s="15"/>
      <c r="R331" s="15" t="s">
        <v>127</v>
      </c>
      <c r="S331" s="15" t="str">
        <f>HYPERLINK("http://shopweb.tjgdyf.com:8090/snapshot/G_62/D_1311/p_787/20200904142554.jpg","查看图片")</f>
        <v>查看图片</v>
      </c>
      <c r="T331" s="15" t="str">
        <f>HYPERLINK("http://ovopark.oss-cn-hangzhou.aliyuncs.com/202009101454319330.jpeg","查看图片")</f>
        <v>查看图片</v>
      </c>
      <c r="U331" s="15" t="s">
        <v>7</v>
      </c>
      <c r="V331" s="15" t="s">
        <v>1698</v>
      </c>
      <c r="W331" s="13" t="s">
        <v>137</v>
      </c>
      <c r="X331" s="13" t="s">
        <v>197</v>
      </c>
    </row>
    <row r="332" customHeight="1" spans="1:24">
      <c r="A332" s="15" t="s">
        <v>1699</v>
      </c>
      <c r="B332" s="15" t="s">
        <v>28</v>
      </c>
      <c r="C332" s="15" t="s">
        <v>221</v>
      </c>
      <c r="D332" s="15" t="s">
        <v>222</v>
      </c>
      <c r="E332" s="15" t="s">
        <v>89</v>
      </c>
      <c r="F332" s="15" t="s">
        <v>89</v>
      </c>
      <c r="G332" s="15" t="s">
        <v>120</v>
      </c>
      <c r="H332" s="15" t="s">
        <v>91</v>
      </c>
      <c r="I332" s="15" t="s">
        <v>92</v>
      </c>
      <c r="J332" s="15" t="s">
        <v>1422</v>
      </c>
      <c r="K332" s="16" t="s">
        <v>169</v>
      </c>
      <c r="L332" s="16" t="s">
        <v>1700</v>
      </c>
      <c r="M332" s="16" t="s">
        <v>1701</v>
      </c>
      <c r="N332" s="15" t="s">
        <v>333</v>
      </c>
      <c r="O332" s="15" t="s">
        <v>98</v>
      </c>
      <c r="P332" s="15" t="s">
        <v>186</v>
      </c>
      <c r="Q332" s="15"/>
      <c r="R332" s="15" t="s">
        <v>127</v>
      </c>
      <c r="S332" s="15" t="s">
        <v>114</v>
      </c>
      <c r="T332" s="15" t="str">
        <f>HYPERLINK("http://ovopark.oss-cn-hangzhou.aliyuncs.com/2039_52145513878985_image_1599722494506.jpg","查看图片")</f>
        <v>查看图片</v>
      </c>
      <c r="U332" s="15" t="s">
        <v>7</v>
      </c>
      <c r="V332" s="15" t="s">
        <v>1702</v>
      </c>
      <c r="W332" s="13" t="s">
        <v>137</v>
      </c>
      <c r="X332" s="13" t="s">
        <v>335</v>
      </c>
    </row>
    <row r="333" customHeight="1" spans="1:24">
      <c r="A333" s="15" t="s">
        <v>1703</v>
      </c>
      <c r="B333" s="15" t="s">
        <v>61</v>
      </c>
      <c r="C333" s="15" t="s">
        <v>190</v>
      </c>
      <c r="D333" s="15" t="s">
        <v>191</v>
      </c>
      <c r="E333" s="15" t="s">
        <v>154</v>
      </c>
      <c r="F333" s="15" t="s">
        <v>89</v>
      </c>
      <c r="G333" s="15" t="s">
        <v>120</v>
      </c>
      <c r="H333" s="15" t="s">
        <v>91</v>
      </c>
      <c r="I333" s="15" t="s">
        <v>92</v>
      </c>
      <c r="J333" s="15" t="s">
        <v>94</v>
      </c>
      <c r="K333" s="16" t="s">
        <v>207</v>
      </c>
      <c r="L333" s="16" t="s">
        <v>1704</v>
      </c>
      <c r="M333" s="16" t="s">
        <v>1705</v>
      </c>
      <c r="N333" s="15" t="s">
        <v>1706</v>
      </c>
      <c r="O333" s="15" t="s">
        <v>98</v>
      </c>
      <c r="P333" s="15" t="s">
        <v>126</v>
      </c>
      <c r="Q333" s="15"/>
      <c r="R333" s="15" t="s">
        <v>1707</v>
      </c>
      <c r="S333" s="15" t="str">
        <f>HYPERLINK("http://shopweb.tjgdyf.com:8090/snapshot/G_62/D_2007/p_20000/20200904211635.jpg","查看图片")</f>
        <v>查看图片</v>
      </c>
      <c r="T333" s="15" t="str">
        <f>HYPERLINK("http://ovopark.oss-cn-hangzhou.aliyuncs.com/202009091726204435.jpeg","查看图片")</f>
        <v>查看图片</v>
      </c>
      <c r="U333" s="15" t="s">
        <v>7</v>
      </c>
      <c r="V333" s="15" t="s">
        <v>1708</v>
      </c>
      <c r="W333" s="13" t="s">
        <v>137</v>
      </c>
      <c r="X333" s="13" t="s">
        <v>1709</v>
      </c>
    </row>
    <row r="334" customHeight="1" spans="1:24">
      <c r="A334" s="15" t="s">
        <v>1710</v>
      </c>
      <c r="B334" s="15" t="s">
        <v>9</v>
      </c>
      <c r="C334" s="15" t="s">
        <v>212</v>
      </c>
      <c r="D334" s="15" t="s">
        <v>1552</v>
      </c>
      <c r="E334" s="15" t="s">
        <v>154</v>
      </c>
      <c r="F334" s="15" t="s">
        <v>89</v>
      </c>
      <c r="G334" s="15" t="s">
        <v>120</v>
      </c>
      <c r="H334" s="15" t="s">
        <v>91</v>
      </c>
      <c r="I334" s="15" t="s">
        <v>92</v>
      </c>
      <c r="J334" s="15" t="s">
        <v>1637</v>
      </c>
      <c r="K334" s="16" t="s">
        <v>1422</v>
      </c>
      <c r="L334" s="16" t="s">
        <v>1711</v>
      </c>
      <c r="M334" s="16" t="s">
        <v>1712</v>
      </c>
      <c r="N334" s="15" t="s">
        <v>1279</v>
      </c>
      <c r="O334" s="15" t="s">
        <v>98</v>
      </c>
      <c r="P334" s="15" t="s">
        <v>186</v>
      </c>
      <c r="Q334" s="15"/>
      <c r="R334" s="15" t="s">
        <v>1713</v>
      </c>
      <c r="S334" s="15" t="s">
        <v>114</v>
      </c>
      <c r="T334" s="15" t="str">
        <f>HYPERLINK("http://ovopark.oss-cn-hangzhou.aliyuncs.com/202009062044297718.jpeg","查看图片")</f>
        <v>查看图片</v>
      </c>
      <c r="U334" s="15" t="s">
        <v>15</v>
      </c>
      <c r="V334" s="15" t="s">
        <v>1714</v>
      </c>
      <c r="W334" s="13" t="s">
        <v>102</v>
      </c>
      <c r="X334" s="13" t="s">
        <v>6</v>
      </c>
    </row>
    <row r="335" customHeight="1" spans="1:24">
      <c r="A335" s="15" t="s">
        <v>1715</v>
      </c>
      <c r="B335" s="15" t="s">
        <v>14</v>
      </c>
      <c r="C335" s="15" t="s">
        <v>190</v>
      </c>
      <c r="D335" s="15" t="s">
        <v>191</v>
      </c>
      <c r="E335" s="15" t="s">
        <v>154</v>
      </c>
      <c r="F335" s="15" t="s">
        <v>89</v>
      </c>
      <c r="G335" s="15" t="s">
        <v>120</v>
      </c>
      <c r="H335" s="15" t="s">
        <v>91</v>
      </c>
      <c r="I335" s="15" t="s">
        <v>92</v>
      </c>
      <c r="J335" s="15" t="s">
        <v>93</v>
      </c>
      <c r="K335" s="16" t="s">
        <v>94</v>
      </c>
      <c r="L335" s="16" t="s">
        <v>1716</v>
      </c>
      <c r="M335" s="16" t="s">
        <v>1717</v>
      </c>
      <c r="N335" s="15" t="s">
        <v>804</v>
      </c>
      <c r="O335" s="15" t="s">
        <v>98</v>
      </c>
      <c r="P335" s="15" t="s">
        <v>186</v>
      </c>
      <c r="Q335" s="15"/>
      <c r="R335" s="15" t="s">
        <v>127</v>
      </c>
      <c r="S335" s="15" t="str">
        <f>HYPERLINK("http://shopweb.tjgdyf.com:8090/snapshot/G_62/D_1293/p_382/20200901183543.jpg","查看图片")</f>
        <v>查看图片</v>
      </c>
      <c r="T335" s="15" t="str">
        <f>HYPERLINK("http://ovopark.oss-cn-hangzhou.aliyuncs.com/2079_18202523547215_image_1599546735586.jpg","查看图片")</f>
        <v>查看图片</v>
      </c>
      <c r="U335" s="15" t="s">
        <v>7</v>
      </c>
      <c r="V335" s="15" t="s">
        <v>1718</v>
      </c>
      <c r="W335" s="13" t="s">
        <v>137</v>
      </c>
      <c r="X335" s="13" t="s">
        <v>806</v>
      </c>
    </row>
    <row r="336" customHeight="1" spans="1:24">
      <c r="A336" s="15" t="s">
        <v>1719</v>
      </c>
      <c r="B336" s="15" t="s">
        <v>14</v>
      </c>
      <c r="C336" s="15" t="s">
        <v>1720</v>
      </c>
      <c r="D336" s="15" t="s">
        <v>1721</v>
      </c>
      <c r="E336" s="15" t="s">
        <v>154</v>
      </c>
      <c r="F336" s="15" t="s">
        <v>89</v>
      </c>
      <c r="G336" s="15" t="s">
        <v>120</v>
      </c>
      <c r="H336" s="15" t="s">
        <v>91</v>
      </c>
      <c r="I336" s="15" t="s">
        <v>92</v>
      </c>
      <c r="J336" s="15" t="s">
        <v>93</v>
      </c>
      <c r="K336" s="16" t="s">
        <v>94</v>
      </c>
      <c r="L336" s="16" t="s">
        <v>1722</v>
      </c>
      <c r="M336" s="16" t="s">
        <v>1723</v>
      </c>
      <c r="N336" s="15" t="s">
        <v>804</v>
      </c>
      <c r="O336" s="15" t="s">
        <v>98</v>
      </c>
      <c r="P336" s="15" t="s">
        <v>186</v>
      </c>
      <c r="Q336" s="15"/>
      <c r="R336" s="15" t="s">
        <v>127</v>
      </c>
      <c r="S336" s="15" t="str">
        <f>HYPERLINK("http://shopweb.tjgdyf.com:8090/snapshot/G_62/D_1293/p_261/20200901183505.jpg","查看图片")</f>
        <v>查看图片</v>
      </c>
      <c r="T336" s="15" t="str">
        <f>HYPERLINK("http://ovopark.oss-cn-hangzhou.aliyuncs.com/2079_18347652967297_image_1599547044292.jpg","查看图片")</f>
        <v>查看图片</v>
      </c>
      <c r="U336" s="15" t="s">
        <v>7</v>
      </c>
      <c r="V336" s="15" t="s">
        <v>1724</v>
      </c>
      <c r="W336" s="13" t="s">
        <v>137</v>
      </c>
      <c r="X336" s="13" t="s">
        <v>806</v>
      </c>
    </row>
    <row r="337" customHeight="1" spans="1:24">
      <c r="A337" s="15" t="s">
        <v>1725</v>
      </c>
      <c r="B337" s="15" t="s">
        <v>655</v>
      </c>
      <c r="C337" s="15" t="s">
        <v>1414</v>
      </c>
      <c r="D337" s="15" t="s">
        <v>1726</v>
      </c>
      <c r="E337" s="15" t="s">
        <v>89</v>
      </c>
      <c r="F337" s="15" t="s">
        <v>89</v>
      </c>
      <c r="G337" s="15" t="s">
        <v>120</v>
      </c>
      <c r="H337" s="15" t="s">
        <v>91</v>
      </c>
      <c r="I337" s="15" t="s">
        <v>92</v>
      </c>
      <c r="J337" s="15" t="s">
        <v>1727</v>
      </c>
      <c r="K337" s="16" t="s">
        <v>1625</v>
      </c>
      <c r="L337" s="16" t="s">
        <v>1728</v>
      </c>
      <c r="M337" s="16" t="s">
        <v>1729</v>
      </c>
      <c r="N337" s="15" t="s">
        <v>661</v>
      </c>
      <c r="O337" s="15" t="s">
        <v>98</v>
      </c>
      <c r="P337" s="15" t="s">
        <v>1730</v>
      </c>
      <c r="Q337" s="15"/>
      <c r="R337" s="15" t="s">
        <v>127</v>
      </c>
      <c r="S337" s="15" t="str">
        <f>HYPERLINK("http://ovopark.oss-cn-hangzhou.aliyuncs.com/202009021518184478.jpeg?x-oss-process=image/resize,w_700,l_700","查看图片")</f>
        <v>查看图片</v>
      </c>
      <c r="T337" s="15" t="str">
        <f>HYPERLINK("http://ovopark.oss-cn-hangzhou.aliyuncs.com/2132_108298457190167_image_1599570699106.jpg","查看图片")</f>
        <v>查看图片</v>
      </c>
      <c r="U337" s="15" t="s">
        <v>15</v>
      </c>
      <c r="V337" s="15" t="s">
        <v>1731</v>
      </c>
      <c r="W337" s="13" t="s">
        <v>137</v>
      </c>
      <c r="X337" s="13" t="s">
        <v>1732</v>
      </c>
    </row>
    <row r="338" customHeight="1" spans="1:24">
      <c r="A338" s="15" t="s">
        <v>1733</v>
      </c>
      <c r="B338" s="15" t="s">
        <v>48</v>
      </c>
      <c r="C338" s="15" t="s">
        <v>221</v>
      </c>
      <c r="D338" s="15" t="s">
        <v>222</v>
      </c>
      <c r="E338" s="15" t="s">
        <v>89</v>
      </c>
      <c r="F338" s="15" t="s">
        <v>89</v>
      </c>
      <c r="G338" s="15" t="s">
        <v>120</v>
      </c>
      <c r="H338" s="15" t="s">
        <v>91</v>
      </c>
      <c r="I338" s="15" t="s">
        <v>92</v>
      </c>
      <c r="J338" s="15" t="s">
        <v>1625</v>
      </c>
      <c r="K338" s="16" t="s">
        <v>1626</v>
      </c>
      <c r="L338" s="16" t="s">
        <v>1734</v>
      </c>
      <c r="M338" s="16" t="s">
        <v>1735</v>
      </c>
      <c r="N338" s="15" t="s">
        <v>350</v>
      </c>
      <c r="O338" s="15" t="s">
        <v>98</v>
      </c>
      <c r="P338" s="15" t="s">
        <v>351</v>
      </c>
      <c r="Q338" s="15"/>
      <c r="R338" s="15" t="s">
        <v>127</v>
      </c>
      <c r="S338" s="15" t="s">
        <v>114</v>
      </c>
      <c r="T338" s="15" t="str">
        <f>HYPERLINK("http://ovopark.oss-cn-hangzhou.aliyuncs.com/202009081106148950.jpeg","查看图片")</f>
        <v>查看图片</v>
      </c>
      <c r="U338" s="15" t="s">
        <v>7</v>
      </c>
      <c r="V338" s="15" t="s">
        <v>1736</v>
      </c>
      <c r="W338" s="13" t="s">
        <v>102</v>
      </c>
      <c r="X338" s="13" t="s">
        <v>31</v>
      </c>
    </row>
    <row r="339" customHeight="1" spans="1:24">
      <c r="A339" s="15" t="s">
        <v>1737</v>
      </c>
      <c r="B339" s="15" t="s">
        <v>48</v>
      </c>
      <c r="C339" s="15" t="s">
        <v>221</v>
      </c>
      <c r="D339" s="15" t="s">
        <v>222</v>
      </c>
      <c r="E339" s="15" t="s">
        <v>89</v>
      </c>
      <c r="F339" s="15" t="s">
        <v>89</v>
      </c>
      <c r="G339" s="15" t="s">
        <v>120</v>
      </c>
      <c r="H339" s="15" t="s">
        <v>91</v>
      </c>
      <c r="I339" s="15" t="s">
        <v>92</v>
      </c>
      <c r="J339" s="15" t="s">
        <v>1625</v>
      </c>
      <c r="K339" s="16" t="s">
        <v>1626</v>
      </c>
      <c r="L339" s="16" t="s">
        <v>1738</v>
      </c>
      <c r="M339" s="16" t="s">
        <v>1739</v>
      </c>
      <c r="N339" s="15" t="s">
        <v>350</v>
      </c>
      <c r="O339" s="15" t="s">
        <v>98</v>
      </c>
      <c r="P339" s="15" t="s">
        <v>351</v>
      </c>
      <c r="Q339" s="15"/>
      <c r="R339" s="15" t="s">
        <v>127</v>
      </c>
      <c r="S339" s="15" t="s">
        <v>114</v>
      </c>
      <c r="T339" s="15" t="str">
        <f>HYPERLINK("http://ovopark.oss-cn-hangzhou.aliyuncs.com/20200908110654131.jpeg","查看图片")</f>
        <v>查看图片</v>
      </c>
      <c r="U339" s="15" t="s">
        <v>7</v>
      </c>
      <c r="V339" s="15" t="s">
        <v>1740</v>
      </c>
      <c r="W339" s="13" t="s">
        <v>102</v>
      </c>
      <c r="X339" s="13" t="s">
        <v>31</v>
      </c>
    </row>
    <row r="340" customHeight="1" spans="1:24">
      <c r="A340" s="15" t="s">
        <v>1741</v>
      </c>
      <c r="B340" s="15" t="s">
        <v>48</v>
      </c>
      <c r="C340" s="15" t="s">
        <v>221</v>
      </c>
      <c r="D340" s="15" t="s">
        <v>222</v>
      </c>
      <c r="E340" s="15" t="s">
        <v>89</v>
      </c>
      <c r="F340" s="15" t="s">
        <v>89</v>
      </c>
      <c r="G340" s="15" t="s">
        <v>120</v>
      </c>
      <c r="H340" s="15" t="s">
        <v>91</v>
      </c>
      <c r="I340" s="15" t="s">
        <v>92</v>
      </c>
      <c r="J340" s="15" t="s">
        <v>1625</v>
      </c>
      <c r="K340" s="16" t="s">
        <v>1626</v>
      </c>
      <c r="L340" s="16" t="s">
        <v>1742</v>
      </c>
      <c r="M340" s="16" t="s">
        <v>1743</v>
      </c>
      <c r="N340" s="15" t="s">
        <v>350</v>
      </c>
      <c r="O340" s="15" t="s">
        <v>98</v>
      </c>
      <c r="P340" s="15" t="s">
        <v>351</v>
      </c>
      <c r="Q340" s="15"/>
      <c r="R340" s="15" t="s">
        <v>127</v>
      </c>
      <c r="S340" s="15" t="s">
        <v>114</v>
      </c>
      <c r="T340" s="15" t="str">
        <f>HYPERLINK("http://ovopark.oss-cn-hangzhou.aliyuncs.com/202009081108028876.jpeg","查看图片")</f>
        <v>查看图片</v>
      </c>
      <c r="U340" s="15" t="s">
        <v>7</v>
      </c>
      <c r="V340" s="15" t="s">
        <v>1744</v>
      </c>
      <c r="W340" s="13" t="s">
        <v>102</v>
      </c>
      <c r="X340" s="13" t="s">
        <v>31</v>
      </c>
    </row>
    <row r="341" customHeight="1" spans="1:24">
      <c r="A341" s="15" t="s">
        <v>1745</v>
      </c>
      <c r="B341" s="15" t="s">
        <v>48</v>
      </c>
      <c r="C341" s="15" t="s">
        <v>221</v>
      </c>
      <c r="D341" s="15" t="s">
        <v>222</v>
      </c>
      <c r="E341" s="15" t="s">
        <v>89</v>
      </c>
      <c r="F341" s="15" t="s">
        <v>89</v>
      </c>
      <c r="G341" s="15" t="s">
        <v>120</v>
      </c>
      <c r="H341" s="15" t="s">
        <v>91</v>
      </c>
      <c r="I341" s="15" t="s">
        <v>92</v>
      </c>
      <c r="J341" s="15" t="s">
        <v>1625</v>
      </c>
      <c r="K341" s="16" t="s">
        <v>1626</v>
      </c>
      <c r="L341" s="16" t="s">
        <v>1746</v>
      </c>
      <c r="M341" s="16" t="s">
        <v>1747</v>
      </c>
      <c r="N341" s="15" t="s">
        <v>350</v>
      </c>
      <c r="O341" s="15" t="s">
        <v>98</v>
      </c>
      <c r="P341" s="15" t="s">
        <v>351</v>
      </c>
      <c r="Q341" s="15"/>
      <c r="R341" s="15" t="s">
        <v>127</v>
      </c>
      <c r="S341" s="15" t="s">
        <v>114</v>
      </c>
      <c r="T341" s="15" t="str">
        <f>HYPERLINK("http://ovopark.oss-cn-hangzhou.aliyuncs.com/202009081108371740.jpeg","查看图片")</f>
        <v>查看图片</v>
      </c>
      <c r="U341" s="15" t="s">
        <v>7</v>
      </c>
      <c r="V341" s="15" t="s">
        <v>1748</v>
      </c>
      <c r="W341" s="13" t="s">
        <v>102</v>
      </c>
      <c r="X341" s="13" t="s">
        <v>31</v>
      </c>
    </row>
    <row r="342" customHeight="1" spans="1:24">
      <c r="A342" s="15" t="s">
        <v>1749</v>
      </c>
      <c r="B342" s="15" t="s">
        <v>48</v>
      </c>
      <c r="C342" s="15" t="s">
        <v>221</v>
      </c>
      <c r="D342" s="15" t="s">
        <v>222</v>
      </c>
      <c r="E342" s="15" t="s">
        <v>89</v>
      </c>
      <c r="F342" s="15" t="s">
        <v>89</v>
      </c>
      <c r="G342" s="15" t="s">
        <v>120</v>
      </c>
      <c r="H342" s="15" t="s">
        <v>91</v>
      </c>
      <c r="I342" s="15" t="s">
        <v>92</v>
      </c>
      <c r="J342" s="15" t="s">
        <v>1625</v>
      </c>
      <c r="K342" s="16" t="s">
        <v>1626</v>
      </c>
      <c r="L342" s="16" t="s">
        <v>1750</v>
      </c>
      <c r="M342" s="16" t="s">
        <v>1751</v>
      </c>
      <c r="N342" s="15" t="s">
        <v>350</v>
      </c>
      <c r="O342" s="15" t="s">
        <v>98</v>
      </c>
      <c r="P342" s="15" t="s">
        <v>351</v>
      </c>
      <c r="Q342" s="15"/>
      <c r="R342" s="15" t="s">
        <v>127</v>
      </c>
      <c r="S342" s="15" t="s">
        <v>114</v>
      </c>
      <c r="T342" s="15" t="str">
        <f>HYPERLINK("http://ovopark.oss-cn-hangzhou.aliyuncs.com/202009081109054070.jpeg","查看图片")</f>
        <v>查看图片</v>
      </c>
      <c r="U342" s="15" t="s">
        <v>7</v>
      </c>
      <c r="V342" s="15" t="s">
        <v>1752</v>
      </c>
      <c r="W342" s="13" t="s">
        <v>102</v>
      </c>
      <c r="X342" s="13" t="s">
        <v>31</v>
      </c>
    </row>
    <row r="343" customHeight="1" spans="1:24">
      <c r="A343" s="15" t="s">
        <v>1753</v>
      </c>
      <c r="B343" s="15" t="s">
        <v>48</v>
      </c>
      <c r="C343" s="15" t="s">
        <v>221</v>
      </c>
      <c r="D343" s="15" t="s">
        <v>222</v>
      </c>
      <c r="E343" s="15" t="s">
        <v>89</v>
      </c>
      <c r="F343" s="15" t="s">
        <v>89</v>
      </c>
      <c r="G343" s="15" t="s">
        <v>120</v>
      </c>
      <c r="H343" s="15" t="s">
        <v>91</v>
      </c>
      <c r="I343" s="15" t="s">
        <v>92</v>
      </c>
      <c r="J343" s="15" t="s">
        <v>1625</v>
      </c>
      <c r="K343" s="16" t="s">
        <v>1626</v>
      </c>
      <c r="L343" s="16" t="s">
        <v>1754</v>
      </c>
      <c r="M343" s="16" t="s">
        <v>1755</v>
      </c>
      <c r="N343" s="15" t="s">
        <v>350</v>
      </c>
      <c r="O343" s="15" t="s">
        <v>98</v>
      </c>
      <c r="P343" s="15" t="s">
        <v>351</v>
      </c>
      <c r="Q343" s="15"/>
      <c r="R343" s="15" t="s">
        <v>127</v>
      </c>
      <c r="S343" s="15" t="s">
        <v>114</v>
      </c>
      <c r="T343" s="15" t="str">
        <f>HYPERLINK("http://ovopark.oss-cn-hangzhou.aliyuncs.com/202009081109294805.jpeg","查看图片")</f>
        <v>查看图片</v>
      </c>
      <c r="U343" s="15" t="s">
        <v>7</v>
      </c>
      <c r="V343" s="15" t="s">
        <v>1756</v>
      </c>
      <c r="W343" s="13" t="s">
        <v>102</v>
      </c>
      <c r="X343" s="13" t="s">
        <v>31</v>
      </c>
    </row>
    <row r="344" customHeight="1" spans="1:24">
      <c r="A344" s="15" t="s">
        <v>1757</v>
      </c>
      <c r="B344" s="15" t="s">
        <v>33</v>
      </c>
      <c r="C344" s="15" t="s">
        <v>221</v>
      </c>
      <c r="D344" s="15" t="s">
        <v>222</v>
      </c>
      <c r="E344" s="15" t="s">
        <v>89</v>
      </c>
      <c r="F344" s="15" t="s">
        <v>89</v>
      </c>
      <c r="G344" s="15" t="s">
        <v>120</v>
      </c>
      <c r="H344" s="15" t="s">
        <v>91</v>
      </c>
      <c r="I344" s="15" t="s">
        <v>92</v>
      </c>
      <c r="J344" s="15" t="s">
        <v>1625</v>
      </c>
      <c r="K344" s="16" t="s">
        <v>1626</v>
      </c>
      <c r="L344" s="16" t="s">
        <v>1758</v>
      </c>
      <c r="M344" s="16" t="s">
        <v>1759</v>
      </c>
      <c r="N344" s="15" t="s">
        <v>1760</v>
      </c>
      <c r="O344" s="15" t="s">
        <v>98</v>
      </c>
      <c r="P344" s="15" t="s">
        <v>351</v>
      </c>
      <c r="Q344" s="15"/>
      <c r="R344" s="15" t="s">
        <v>127</v>
      </c>
      <c r="S344" s="15" t="s">
        <v>114</v>
      </c>
      <c r="T344" s="15" t="s">
        <v>114</v>
      </c>
      <c r="U344" s="15" t="s">
        <v>7</v>
      </c>
      <c r="V344" s="15" t="s">
        <v>1761</v>
      </c>
      <c r="W344" s="13" t="s">
        <v>102</v>
      </c>
      <c r="X344" s="13" t="s">
        <v>31</v>
      </c>
    </row>
    <row r="345" customHeight="1" spans="1:24">
      <c r="A345" s="15" t="s">
        <v>1762</v>
      </c>
      <c r="B345" s="15" t="s">
        <v>33</v>
      </c>
      <c r="C345" s="15" t="s">
        <v>221</v>
      </c>
      <c r="D345" s="15" t="s">
        <v>222</v>
      </c>
      <c r="E345" s="15" t="s">
        <v>89</v>
      </c>
      <c r="F345" s="15" t="s">
        <v>89</v>
      </c>
      <c r="G345" s="15" t="s">
        <v>120</v>
      </c>
      <c r="H345" s="15" t="s">
        <v>91</v>
      </c>
      <c r="I345" s="15" t="s">
        <v>92</v>
      </c>
      <c r="J345" s="15" t="s">
        <v>1625</v>
      </c>
      <c r="K345" s="16" t="s">
        <v>1626</v>
      </c>
      <c r="L345" s="16" t="s">
        <v>1763</v>
      </c>
      <c r="M345" s="16" t="s">
        <v>1764</v>
      </c>
      <c r="N345" s="15" t="s">
        <v>1760</v>
      </c>
      <c r="O345" s="15" t="s">
        <v>98</v>
      </c>
      <c r="P345" s="15" t="s">
        <v>351</v>
      </c>
      <c r="Q345" s="15"/>
      <c r="R345" s="15" t="s">
        <v>127</v>
      </c>
      <c r="S345" s="15" t="s">
        <v>114</v>
      </c>
      <c r="T345" s="15" t="str">
        <f>HYPERLINK("http://ovopark.oss-cn-hangzhou.aliyuncs.com/2032_3618141767676_image_1599536092629.jpg","查看图片")</f>
        <v>查看图片</v>
      </c>
      <c r="U345" s="15" t="s">
        <v>7</v>
      </c>
      <c r="V345" s="15" t="s">
        <v>1765</v>
      </c>
      <c r="W345" s="13" t="s">
        <v>102</v>
      </c>
      <c r="X345" s="13" t="s">
        <v>31</v>
      </c>
    </row>
    <row r="346" customHeight="1" spans="1:24">
      <c r="A346" s="15" t="s">
        <v>1766</v>
      </c>
      <c r="B346" s="15" t="s">
        <v>33</v>
      </c>
      <c r="C346" s="15" t="s">
        <v>221</v>
      </c>
      <c r="D346" s="15" t="s">
        <v>222</v>
      </c>
      <c r="E346" s="15" t="s">
        <v>89</v>
      </c>
      <c r="F346" s="15" t="s">
        <v>89</v>
      </c>
      <c r="G346" s="15" t="s">
        <v>120</v>
      </c>
      <c r="H346" s="15" t="s">
        <v>91</v>
      </c>
      <c r="I346" s="15" t="s">
        <v>92</v>
      </c>
      <c r="J346" s="15" t="s">
        <v>1625</v>
      </c>
      <c r="K346" s="16" t="s">
        <v>1626</v>
      </c>
      <c r="L346" s="16" t="s">
        <v>1767</v>
      </c>
      <c r="M346" s="16" t="s">
        <v>1768</v>
      </c>
      <c r="N346" s="15" t="s">
        <v>1760</v>
      </c>
      <c r="O346" s="15" t="s">
        <v>98</v>
      </c>
      <c r="P346" s="15" t="s">
        <v>351</v>
      </c>
      <c r="Q346" s="15"/>
      <c r="R346" s="15" t="s">
        <v>127</v>
      </c>
      <c r="S346" s="15" t="s">
        <v>114</v>
      </c>
      <c r="T346" s="15" t="s">
        <v>114</v>
      </c>
      <c r="U346" s="15" t="s">
        <v>7</v>
      </c>
      <c r="V346" s="15" t="s">
        <v>1769</v>
      </c>
      <c r="W346" s="13" t="s">
        <v>102</v>
      </c>
      <c r="X346" s="13" t="s">
        <v>31</v>
      </c>
    </row>
    <row r="347" customHeight="1" spans="1:24">
      <c r="A347" s="15" t="s">
        <v>1770</v>
      </c>
      <c r="B347" s="15" t="s">
        <v>33</v>
      </c>
      <c r="C347" s="15" t="s">
        <v>221</v>
      </c>
      <c r="D347" s="15" t="s">
        <v>222</v>
      </c>
      <c r="E347" s="15" t="s">
        <v>89</v>
      </c>
      <c r="F347" s="15" t="s">
        <v>89</v>
      </c>
      <c r="G347" s="15" t="s">
        <v>120</v>
      </c>
      <c r="H347" s="15" t="s">
        <v>91</v>
      </c>
      <c r="I347" s="15" t="s">
        <v>92</v>
      </c>
      <c r="J347" s="15" t="s">
        <v>1625</v>
      </c>
      <c r="K347" s="16" t="s">
        <v>1626</v>
      </c>
      <c r="L347" s="16" t="s">
        <v>1771</v>
      </c>
      <c r="M347" s="16" t="s">
        <v>1772</v>
      </c>
      <c r="N347" s="15" t="s">
        <v>1760</v>
      </c>
      <c r="O347" s="15" t="s">
        <v>98</v>
      </c>
      <c r="P347" s="15" t="s">
        <v>351</v>
      </c>
      <c r="Q347" s="15"/>
      <c r="R347" s="15" t="s">
        <v>127</v>
      </c>
      <c r="S347" s="15" t="s">
        <v>114</v>
      </c>
      <c r="T347" s="15" t="s">
        <v>114</v>
      </c>
      <c r="U347" s="15" t="s">
        <v>7</v>
      </c>
      <c r="V347" s="15" t="s">
        <v>1773</v>
      </c>
      <c r="W347" s="13" t="s">
        <v>102</v>
      </c>
      <c r="X347" s="13" t="s">
        <v>31</v>
      </c>
    </row>
    <row r="348" customHeight="1" spans="1:24">
      <c r="A348" s="15" t="s">
        <v>1774</v>
      </c>
      <c r="B348" s="15" t="s">
        <v>33</v>
      </c>
      <c r="C348" s="15" t="s">
        <v>221</v>
      </c>
      <c r="D348" s="15" t="s">
        <v>222</v>
      </c>
      <c r="E348" s="15" t="s">
        <v>89</v>
      </c>
      <c r="F348" s="15" t="s">
        <v>89</v>
      </c>
      <c r="G348" s="15" t="s">
        <v>120</v>
      </c>
      <c r="H348" s="15" t="s">
        <v>91</v>
      </c>
      <c r="I348" s="15" t="s">
        <v>92</v>
      </c>
      <c r="J348" s="15" t="s">
        <v>1625</v>
      </c>
      <c r="K348" s="16" t="s">
        <v>1626</v>
      </c>
      <c r="L348" s="16" t="s">
        <v>1775</v>
      </c>
      <c r="M348" s="16" t="s">
        <v>1776</v>
      </c>
      <c r="N348" s="15" t="s">
        <v>1760</v>
      </c>
      <c r="O348" s="15" t="s">
        <v>98</v>
      </c>
      <c r="P348" s="15" t="s">
        <v>351</v>
      </c>
      <c r="Q348" s="15"/>
      <c r="R348" s="15" t="s">
        <v>127</v>
      </c>
      <c r="S348" s="15" t="s">
        <v>114</v>
      </c>
      <c r="T348" s="15" t="s">
        <v>114</v>
      </c>
      <c r="U348" s="15" t="s">
        <v>7</v>
      </c>
      <c r="V348" s="15" t="s">
        <v>1777</v>
      </c>
      <c r="W348" s="13" t="s">
        <v>102</v>
      </c>
      <c r="X348" s="13" t="s">
        <v>31</v>
      </c>
    </row>
    <row r="349" customHeight="1" spans="1:24">
      <c r="A349" s="15" t="s">
        <v>1778</v>
      </c>
      <c r="B349" s="15" t="s">
        <v>33</v>
      </c>
      <c r="C349" s="15" t="s">
        <v>221</v>
      </c>
      <c r="D349" s="15" t="s">
        <v>222</v>
      </c>
      <c r="E349" s="15" t="s">
        <v>89</v>
      </c>
      <c r="F349" s="15" t="s">
        <v>89</v>
      </c>
      <c r="G349" s="15" t="s">
        <v>120</v>
      </c>
      <c r="H349" s="15" t="s">
        <v>91</v>
      </c>
      <c r="I349" s="15" t="s">
        <v>92</v>
      </c>
      <c r="J349" s="15" t="s">
        <v>1625</v>
      </c>
      <c r="K349" s="16" t="s">
        <v>1626</v>
      </c>
      <c r="L349" s="16" t="s">
        <v>1779</v>
      </c>
      <c r="M349" s="16" t="s">
        <v>1780</v>
      </c>
      <c r="N349" s="15" t="s">
        <v>1760</v>
      </c>
      <c r="O349" s="15" t="s">
        <v>98</v>
      </c>
      <c r="P349" s="15" t="s">
        <v>351</v>
      </c>
      <c r="Q349" s="15"/>
      <c r="R349" s="15" t="s">
        <v>127</v>
      </c>
      <c r="S349" s="15" t="s">
        <v>114</v>
      </c>
      <c r="T349" s="15" t="s">
        <v>114</v>
      </c>
      <c r="U349" s="15" t="s">
        <v>7</v>
      </c>
      <c r="V349" s="15" t="s">
        <v>1781</v>
      </c>
      <c r="W349" s="13" t="s">
        <v>102</v>
      </c>
      <c r="X349" s="13" t="s">
        <v>31</v>
      </c>
    </row>
    <row r="350" customHeight="1" spans="1:24">
      <c r="A350" s="15" t="s">
        <v>1782</v>
      </c>
      <c r="B350" s="15" t="s">
        <v>37</v>
      </c>
      <c r="C350" s="15" t="s">
        <v>221</v>
      </c>
      <c r="D350" s="15" t="s">
        <v>222</v>
      </c>
      <c r="E350" s="15" t="s">
        <v>89</v>
      </c>
      <c r="F350" s="15" t="s">
        <v>89</v>
      </c>
      <c r="G350" s="15" t="s">
        <v>120</v>
      </c>
      <c r="H350" s="15" t="s">
        <v>91</v>
      </c>
      <c r="I350" s="15" t="s">
        <v>92</v>
      </c>
      <c r="J350" s="15" t="s">
        <v>1625</v>
      </c>
      <c r="K350" s="16" t="s">
        <v>1626</v>
      </c>
      <c r="L350" s="16" t="s">
        <v>1783</v>
      </c>
      <c r="M350" s="16" t="s">
        <v>1784</v>
      </c>
      <c r="N350" s="15" t="s">
        <v>1014</v>
      </c>
      <c r="O350" s="15" t="s">
        <v>98</v>
      </c>
      <c r="P350" s="15" t="s">
        <v>351</v>
      </c>
      <c r="Q350" s="15"/>
      <c r="R350" s="15" t="s">
        <v>127</v>
      </c>
      <c r="S350" s="15" t="s">
        <v>114</v>
      </c>
      <c r="T350" s="15" t="s">
        <v>114</v>
      </c>
      <c r="U350" s="15" t="s">
        <v>7</v>
      </c>
      <c r="V350" s="15" t="s">
        <v>1785</v>
      </c>
      <c r="W350" s="13" t="s">
        <v>102</v>
      </c>
      <c r="X350" s="13" t="s">
        <v>31</v>
      </c>
    </row>
    <row r="351" customHeight="1" spans="1:24">
      <c r="A351" s="15" t="s">
        <v>1786</v>
      </c>
      <c r="B351" s="15" t="s">
        <v>37</v>
      </c>
      <c r="C351" s="15" t="s">
        <v>221</v>
      </c>
      <c r="D351" s="15" t="s">
        <v>222</v>
      </c>
      <c r="E351" s="15" t="s">
        <v>89</v>
      </c>
      <c r="F351" s="15" t="s">
        <v>89</v>
      </c>
      <c r="G351" s="15" t="s">
        <v>120</v>
      </c>
      <c r="H351" s="15" t="s">
        <v>91</v>
      </c>
      <c r="I351" s="15" t="s">
        <v>92</v>
      </c>
      <c r="J351" s="15" t="s">
        <v>1625</v>
      </c>
      <c r="K351" s="16" t="s">
        <v>1626</v>
      </c>
      <c r="L351" s="16" t="s">
        <v>1787</v>
      </c>
      <c r="M351" s="16" t="s">
        <v>1788</v>
      </c>
      <c r="N351" s="15" t="s">
        <v>1014</v>
      </c>
      <c r="O351" s="15" t="s">
        <v>98</v>
      </c>
      <c r="P351" s="15" t="s">
        <v>351</v>
      </c>
      <c r="Q351" s="15"/>
      <c r="R351" s="15" t="s">
        <v>127</v>
      </c>
      <c r="S351" s="15" t="s">
        <v>114</v>
      </c>
      <c r="T351" s="15" t="s">
        <v>114</v>
      </c>
      <c r="U351" s="15" t="s">
        <v>7</v>
      </c>
      <c r="V351" s="15" t="s">
        <v>1789</v>
      </c>
      <c r="W351" s="13" t="s">
        <v>102</v>
      </c>
      <c r="X351" s="13" t="s">
        <v>31</v>
      </c>
    </row>
    <row r="352" customHeight="1" spans="1:24">
      <c r="A352" s="15" t="s">
        <v>1790</v>
      </c>
      <c r="B352" s="15" t="s">
        <v>37</v>
      </c>
      <c r="C352" s="15" t="s">
        <v>221</v>
      </c>
      <c r="D352" s="15" t="s">
        <v>222</v>
      </c>
      <c r="E352" s="15" t="s">
        <v>89</v>
      </c>
      <c r="F352" s="15" t="s">
        <v>89</v>
      </c>
      <c r="G352" s="15" t="s">
        <v>120</v>
      </c>
      <c r="H352" s="15" t="s">
        <v>91</v>
      </c>
      <c r="I352" s="15" t="s">
        <v>92</v>
      </c>
      <c r="J352" s="15" t="s">
        <v>1625</v>
      </c>
      <c r="K352" s="16" t="s">
        <v>1626</v>
      </c>
      <c r="L352" s="16" t="s">
        <v>1791</v>
      </c>
      <c r="M352" s="16" t="s">
        <v>1792</v>
      </c>
      <c r="N352" s="15" t="s">
        <v>1014</v>
      </c>
      <c r="O352" s="15" t="s">
        <v>98</v>
      </c>
      <c r="P352" s="15" t="s">
        <v>351</v>
      </c>
      <c r="Q352" s="15"/>
      <c r="R352" s="15" t="s">
        <v>127</v>
      </c>
      <c r="S352" s="15" t="s">
        <v>114</v>
      </c>
      <c r="T352" s="15" t="s">
        <v>114</v>
      </c>
      <c r="U352" s="15" t="s">
        <v>7</v>
      </c>
      <c r="V352" s="15" t="s">
        <v>1793</v>
      </c>
      <c r="W352" s="13" t="s">
        <v>102</v>
      </c>
      <c r="X352" s="13" t="s">
        <v>31</v>
      </c>
    </row>
    <row r="353" customHeight="1" spans="1:24">
      <c r="A353" s="15" t="s">
        <v>1794</v>
      </c>
      <c r="B353" s="15" t="s">
        <v>37</v>
      </c>
      <c r="C353" s="15" t="s">
        <v>221</v>
      </c>
      <c r="D353" s="15" t="s">
        <v>222</v>
      </c>
      <c r="E353" s="15" t="s">
        <v>89</v>
      </c>
      <c r="F353" s="15" t="s">
        <v>89</v>
      </c>
      <c r="G353" s="15" t="s">
        <v>120</v>
      </c>
      <c r="H353" s="15" t="s">
        <v>91</v>
      </c>
      <c r="I353" s="15" t="s">
        <v>92</v>
      </c>
      <c r="J353" s="15" t="s">
        <v>1625</v>
      </c>
      <c r="K353" s="16" t="s">
        <v>1626</v>
      </c>
      <c r="L353" s="16" t="s">
        <v>1795</v>
      </c>
      <c r="M353" s="16" t="s">
        <v>1796</v>
      </c>
      <c r="N353" s="15" t="s">
        <v>1014</v>
      </c>
      <c r="O353" s="15" t="s">
        <v>98</v>
      </c>
      <c r="P353" s="15" t="s">
        <v>351</v>
      </c>
      <c r="Q353" s="15"/>
      <c r="R353" s="15" t="s">
        <v>127</v>
      </c>
      <c r="S353" s="15" t="s">
        <v>114</v>
      </c>
      <c r="T353" s="15" t="s">
        <v>114</v>
      </c>
      <c r="U353" s="15" t="s">
        <v>7</v>
      </c>
      <c r="V353" s="15" t="s">
        <v>1797</v>
      </c>
      <c r="W353" s="13" t="s">
        <v>102</v>
      </c>
      <c r="X353" s="13" t="s">
        <v>31</v>
      </c>
    </row>
    <row r="354" customHeight="1" spans="1:24">
      <c r="A354" s="15" t="s">
        <v>1798</v>
      </c>
      <c r="B354" s="15" t="s">
        <v>37</v>
      </c>
      <c r="C354" s="15" t="s">
        <v>221</v>
      </c>
      <c r="D354" s="15" t="s">
        <v>222</v>
      </c>
      <c r="E354" s="15" t="s">
        <v>89</v>
      </c>
      <c r="F354" s="15" t="s">
        <v>89</v>
      </c>
      <c r="G354" s="15" t="s">
        <v>120</v>
      </c>
      <c r="H354" s="15" t="s">
        <v>91</v>
      </c>
      <c r="I354" s="15" t="s">
        <v>92</v>
      </c>
      <c r="J354" s="15" t="s">
        <v>1625</v>
      </c>
      <c r="K354" s="16" t="s">
        <v>1626</v>
      </c>
      <c r="L354" s="16" t="s">
        <v>1799</v>
      </c>
      <c r="M354" s="16" t="s">
        <v>1800</v>
      </c>
      <c r="N354" s="15" t="s">
        <v>1014</v>
      </c>
      <c r="O354" s="15" t="s">
        <v>98</v>
      </c>
      <c r="P354" s="15" t="s">
        <v>351</v>
      </c>
      <c r="Q354" s="15"/>
      <c r="R354" s="15" t="s">
        <v>127</v>
      </c>
      <c r="S354" s="15" t="s">
        <v>114</v>
      </c>
      <c r="T354" s="15" t="s">
        <v>114</v>
      </c>
      <c r="U354" s="15" t="s">
        <v>7</v>
      </c>
      <c r="V354" s="15" t="s">
        <v>1801</v>
      </c>
      <c r="W354" s="13" t="s">
        <v>102</v>
      </c>
      <c r="X354" s="13" t="s">
        <v>31</v>
      </c>
    </row>
    <row r="355" customHeight="1" spans="1:24">
      <c r="A355" s="15" t="s">
        <v>1802</v>
      </c>
      <c r="B355" s="15" t="s">
        <v>37</v>
      </c>
      <c r="C355" s="15" t="s">
        <v>221</v>
      </c>
      <c r="D355" s="15" t="s">
        <v>222</v>
      </c>
      <c r="E355" s="15" t="s">
        <v>89</v>
      </c>
      <c r="F355" s="15" t="s">
        <v>89</v>
      </c>
      <c r="G355" s="15" t="s">
        <v>120</v>
      </c>
      <c r="H355" s="15" t="s">
        <v>91</v>
      </c>
      <c r="I355" s="15" t="s">
        <v>92</v>
      </c>
      <c r="J355" s="15" t="s">
        <v>1625</v>
      </c>
      <c r="K355" s="16" t="s">
        <v>1626</v>
      </c>
      <c r="L355" s="16" t="s">
        <v>1803</v>
      </c>
      <c r="M355" s="16" t="s">
        <v>1804</v>
      </c>
      <c r="N355" s="15" t="s">
        <v>1014</v>
      </c>
      <c r="O355" s="15" t="s">
        <v>98</v>
      </c>
      <c r="P355" s="15" t="s">
        <v>351</v>
      </c>
      <c r="Q355" s="15"/>
      <c r="R355" s="15" t="s">
        <v>127</v>
      </c>
      <c r="S355" s="15" t="s">
        <v>114</v>
      </c>
      <c r="T355" s="15" t="s">
        <v>114</v>
      </c>
      <c r="U355" s="15" t="s">
        <v>7</v>
      </c>
      <c r="V355" s="15" t="s">
        <v>1805</v>
      </c>
      <c r="W355" s="13" t="s">
        <v>102</v>
      </c>
      <c r="X355" s="13" t="s">
        <v>31</v>
      </c>
    </row>
    <row r="356" customHeight="1" spans="1:24">
      <c r="A356" s="15" t="s">
        <v>1806</v>
      </c>
      <c r="B356" s="15" t="s">
        <v>32</v>
      </c>
      <c r="C356" s="15" t="s">
        <v>221</v>
      </c>
      <c r="D356" s="15" t="s">
        <v>222</v>
      </c>
      <c r="E356" s="15" t="s">
        <v>89</v>
      </c>
      <c r="F356" s="15" t="s">
        <v>89</v>
      </c>
      <c r="G356" s="15" t="s">
        <v>120</v>
      </c>
      <c r="H356" s="15" t="s">
        <v>91</v>
      </c>
      <c r="I356" s="15" t="s">
        <v>92</v>
      </c>
      <c r="J356" s="15" t="s">
        <v>1625</v>
      </c>
      <c r="K356" s="16" t="s">
        <v>1626</v>
      </c>
      <c r="L356" s="16" t="s">
        <v>1807</v>
      </c>
      <c r="M356" s="16" t="s">
        <v>1808</v>
      </c>
      <c r="N356" s="15" t="s">
        <v>1475</v>
      </c>
      <c r="O356" s="15" t="s">
        <v>98</v>
      </c>
      <c r="P356" s="15" t="s">
        <v>351</v>
      </c>
      <c r="Q356" s="15"/>
      <c r="R356" s="15" t="s">
        <v>127</v>
      </c>
      <c r="S356" s="15" t="s">
        <v>114</v>
      </c>
      <c r="T356" s="15" t="str">
        <f>HYPERLINK("http://ovopark.oss-cn-hangzhou.aliyuncs.com/2029_62031249429304_image_1599558849050.jpg","查看图片")</f>
        <v>查看图片</v>
      </c>
      <c r="U356" s="15" t="s">
        <v>7</v>
      </c>
      <c r="V356" s="15" t="s">
        <v>1809</v>
      </c>
      <c r="W356" s="13" t="s">
        <v>102</v>
      </c>
      <c r="X356" s="13" t="s">
        <v>31</v>
      </c>
    </row>
    <row r="357" customHeight="1" spans="1:24">
      <c r="A357" s="15" t="s">
        <v>1810</v>
      </c>
      <c r="B357" s="15" t="s">
        <v>32</v>
      </c>
      <c r="C357" s="15" t="s">
        <v>221</v>
      </c>
      <c r="D357" s="15" t="s">
        <v>222</v>
      </c>
      <c r="E357" s="15" t="s">
        <v>89</v>
      </c>
      <c r="F357" s="15" t="s">
        <v>89</v>
      </c>
      <c r="G357" s="15" t="s">
        <v>120</v>
      </c>
      <c r="H357" s="15" t="s">
        <v>91</v>
      </c>
      <c r="I357" s="15" t="s">
        <v>92</v>
      </c>
      <c r="J357" s="15" t="s">
        <v>1625</v>
      </c>
      <c r="K357" s="16" t="s">
        <v>1626</v>
      </c>
      <c r="L357" s="16" t="s">
        <v>1811</v>
      </c>
      <c r="M357" s="16" t="s">
        <v>1812</v>
      </c>
      <c r="N357" s="15" t="s">
        <v>1475</v>
      </c>
      <c r="O357" s="15" t="s">
        <v>98</v>
      </c>
      <c r="P357" s="15" t="s">
        <v>351</v>
      </c>
      <c r="Q357" s="15"/>
      <c r="R357" s="15" t="s">
        <v>127</v>
      </c>
      <c r="S357" s="15" t="s">
        <v>114</v>
      </c>
      <c r="T357" s="15" t="s">
        <v>114</v>
      </c>
      <c r="U357" s="15" t="s">
        <v>7</v>
      </c>
      <c r="V357" s="15" t="s">
        <v>1813</v>
      </c>
      <c r="W357" s="13" t="s">
        <v>102</v>
      </c>
      <c r="X357" s="13" t="s">
        <v>31</v>
      </c>
    </row>
    <row r="358" customHeight="1" spans="1:24">
      <c r="A358" s="15" t="s">
        <v>1814</v>
      </c>
      <c r="B358" s="15" t="s">
        <v>32</v>
      </c>
      <c r="C358" s="15" t="s">
        <v>221</v>
      </c>
      <c r="D358" s="15" t="s">
        <v>222</v>
      </c>
      <c r="E358" s="15" t="s">
        <v>89</v>
      </c>
      <c r="F358" s="15" t="s">
        <v>89</v>
      </c>
      <c r="G358" s="15" t="s">
        <v>120</v>
      </c>
      <c r="H358" s="15" t="s">
        <v>91</v>
      </c>
      <c r="I358" s="15" t="s">
        <v>92</v>
      </c>
      <c r="J358" s="15" t="s">
        <v>1625</v>
      </c>
      <c r="K358" s="16" t="s">
        <v>1626</v>
      </c>
      <c r="L358" s="16" t="s">
        <v>1815</v>
      </c>
      <c r="M358" s="16" t="s">
        <v>1816</v>
      </c>
      <c r="N358" s="15" t="s">
        <v>1475</v>
      </c>
      <c r="O358" s="15" t="s">
        <v>98</v>
      </c>
      <c r="P358" s="15" t="s">
        <v>351</v>
      </c>
      <c r="Q358" s="15"/>
      <c r="R358" s="15" t="s">
        <v>127</v>
      </c>
      <c r="S358" s="15" t="s">
        <v>114</v>
      </c>
      <c r="T358" s="15" t="s">
        <v>114</v>
      </c>
      <c r="U358" s="15" t="s">
        <v>7</v>
      </c>
      <c r="V358" s="15" t="s">
        <v>1817</v>
      </c>
      <c r="W358" s="13" t="s">
        <v>102</v>
      </c>
      <c r="X358" s="13" t="s">
        <v>31</v>
      </c>
    </row>
    <row r="359" customHeight="1" spans="1:24">
      <c r="A359" s="15" t="s">
        <v>1818</v>
      </c>
      <c r="B359" s="15" t="s">
        <v>32</v>
      </c>
      <c r="C359" s="15" t="s">
        <v>221</v>
      </c>
      <c r="D359" s="15" t="s">
        <v>222</v>
      </c>
      <c r="E359" s="15" t="s">
        <v>89</v>
      </c>
      <c r="F359" s="15" t="s">
        <v>89</v>
      </c>
      <c r="G359" s="15" t="s">
        <v>120</v>
      </c>
      <c r="H359" s="15" t="s">
        <v>91</v>
      </c>
      <c r="I359" s="15" t="s">
        <v>92</v>
      </c>
      <c r="J359" s="15" t="s">
        <v>1625</v>
      </c>
      <c r="K359" s="16" t="s">
        <v>1626</v>
      </c>
      <c r="L359" s="16" t="s">
        <v>1819</v>
      </c>
      <c r="M359" s="16" t="s">
        <v>1820</v>
      </c>
      <c r="N359" s="15" t="s">
        <v>1475</v>
      </c>
      <c r="O359" s="15" t="s">
        <v>98</v>
      </c>
      <c r="P359" s="15" t="s">
        <v>351</v>
      </c>
      <c r="Q359" s="15"/>
      <c r="R359" s="15" t="s">
        <v>127</v>
      </c>
      <c r="S359" s="15" t="s">
        <v>114</v>
      </c>
      <c r="T359" s="15" t="s">
        <v>114</v>
      </c>
      <c r="U359" s="15" t="s">
        <v>7</v>
      </c>
      <c r="V359" s="15" t="s">
        <v>1821</v>
      </c>
      <c r="W359" s="13" t="s">
        <v>102</v>
      </c>
      <c r="X359" s="13" t="s">
        <v>31</v>
      </c>
    </row>
    <row r="360" customHeight="1" spans="1:24">
      <c r="A360" s="15" t="s">
        <v>1822</v>
      </c>
      <c r="B360" s="15" t="s">
        <v>32</v>
      </c>
      <c r="C360" s="15" t="s">
        <v>221</v>
      </c>
      <c r="D360" s="15" t="s">
        <v>222</v>
      </c>
      <c r="E360" s="15" t="s">
        <v>89</v>
      </c>
      <c r="F360" s="15" t="s">
        <v>89</v>
      </c>
      <c r="G360" s="15" t="s">
        <v>120</v>
      </c>
      <c r="H360" s="15" t="s">
        <v>91</v>
      </c>
      <c r="I360" s="15" t="s">
        <v>92</v>
      </c>
      <c r="J360" s="15" t="s">
        <v>1625</v>
      </c>
      <c r="K360" s="16" t="s">
        <v>1626</v>
      </c>
      <c r="L360" s="16" t="s">
        <v>1823</v>
      </c>
      <c r="M360" s="16" t="s">
        <v>1824</v>
      </c>
      <c r="N360" s="15" t="s">
        <v>1475</v>
      </c>
      <c r="O360" s="15" t="s">
        <v>98</v>
      </c>
      <c r="P360" s="15" t="s">
        <v>351</v>
      </c>
      <c r="Q360" s="15"/>
      <c r="R360" s="15" t="s">
        <v>127</v>
      </c>
      <c r="S360" s="15" t="s">
        <v>114</v>
      </c>
      <c r="T360" s="15" t="s">
        <v>114</v>
      </c>
      <c r="U360" s="15" t="s">
        <v>7</v>
      </c>
      <c r="V360" s="15" t="s">
        <v>1825</v>
      </c>
      <c r="W360" s="13" t="s">
        <v>102</v>
      </c>
      <c r="X360" s="13" t="s">
        <v>31</v>
      </c>
    </row>
    <row r="361" customHeight="1" spans="1:24">
      <c r="A361" s="15" t="s">
        <v>1826</v>
      </c>
      <c r="B361" s="15" t="s">
        <v>32</v>
      </c>
      <c r="C361" s="15" t="s">
        <v>221</v>
      </c>
      <c r="D361" s="15" t="s">
        <v>222</v>
      </c>
      <c r="E361" s="15" t="s">
        <v>89</v>
      </c>
      <c r="F361" s="15" t="s">
        <v>89</v>
      </c>
      <c r="G361" s="15" t="s">
        <v>120</v>
      </c>
      <c r="H361" s="15" t="s">
        <v>91</v>
      </c>
      <c r="I361" s="15" t="s">
        <v>92</v>
      </c>
      <c r="J361" s="15" t="s">
        <v>1625</v>
      </c>
      <c r="K361" s="16" t="s">
        <v>1626</v>
      </c>
      <c r="L361" s="16" t="s">
        <v>1827</v>
      </c>
      <c r="M361" s="16" t="s">
        <v>1828</v>
      </c>
      <c r="N361" s="15" t="s">
        <v>1475</v>
      </c>
      <c r="O361" s="15" t="s">
        <v>98</v>
      </c>
      <c r="P361" s="15" t="s">
        <v>351</v>
      </c>
      <c r="Q361" s="15"/>
      <c r="R361" s="15" t="s">
        <v>127</v>
      </c>
      <c r="S361" s="15" t="s">
        <v>114</v>
      </c>
      <c r="T361" s="15" t="s">
        <v>114</v>
      </c>
      <c r="U361" s="15" t="s">
        <v>7</v>
      </c>
      <c r="V361" s="15" t="s">
        <v>1829</v>
      </c>
      <c r="W361" s="13" t="s">
        <v>102</v>
      </c>
      <c r="X361" s="13" t="s">
        <v>31</v>
      </c>
    </row>
    <row r="362" customHeight="1" spans="1:24">
      <c r="A362" s="15" t="s">
        <v>1830</v>
      </c>
      <c r="B362" s="15" t="s">
        <v>42</v>
      </c>
      <c r="C362" s="15" t="s">
        <v>221</v>
      </c>
      <c r="D362" s="15" t="s">
        <v>222</v>
      </c>
      <c r="E362" s="15" t="s">
        <v>89</v>
      </c>
      <c r="F362" s="15" t="s">
        <v>89</v>
      </c>
      <c r="G362" s="15" t="s">
        <v>120</v>
      </c>
      <c r="H362" s="15" t="s">
        <v>91</v>
      </c>
      <c r="I362" s="15" t="s">
        <v>92</v>
      </c>
      <c r="J362" s="15" t="s">
        <v>1625</v>
      </c>
      <c r="K362" s="16" t="s">
        <v>1626</v>
      </c>
      <c r="L362" s="16" t="s">
        <v>1831</v>
      </c>
      <c r="M362" s="16" t="s">
        <v>1832</v>
      </c>
      <c r="N362" s="15" t="s">
        <v>1039</v>
      </c>
      <c r="O362" s="15" t="s">
        <v>98</v>
      </c>
      <c r="P362" s="15" t="s">
        <v>351</v>
      </c>
      <c r="Q362" s="15"/>
      <c r="R362" s="15" t="s">
        <v>127</v>
      </c>
      <c r="S362" s="15" t="s">
        <v>114</v>
      </c>
      <c r="T362" s="15" t="s">
        <v>114</v>
      </c>
      <c r="U362" s="15" t="s">
        <v>7</v>
      </c>
      <c r="V362" s="15" t="s">
        <v>1833</v>
      </c>
      <c r="W362" s="13" t="s">
        <v>102</v>
      </c>
      <c r="X362" s="13" t="s">
        <v>31</v>
      </c>
    </row>
    <row r="363" customHeight="1" spans="1:24">
      <c r="A363" s="15" t="s">
        <v>1834</v>
      </c>
      <c r="B363" s="15" t="s">
        <v>42</v>
      </c>
      <c r="C363" s="15" t="s">
        <v>221</v>
      </c>
      <c r="D363" s="15" t="s">
        <v>222</v>
      </c>
      <c r="E363" s="15" t="s">
        <v>89</v>
      </c>
      <c r="F363" s="15" t="s">
        <v>89</v>
      </c>
      <c r="G363" s="15" t="s">
        <v>120</v>
      </c>
      <c r="H363" s="15" t="s">
        <v>91</v>
      </c>
      <c r="I363" s="15" t="s">
        <v>92</v>
      </c>
      <c r="J363" s="15" t="s">
        <v>1625</v>
      </c>
      <c r="K363" s="16" t="s">
        <v>1626</v>
      </c>
      <c r="L363" s="16" t="s">
        <v>1835</v>
      </c>
      <c r="M363" s="16" t="s">
        <v>1836</v>
      </c>
      <c r="N363" s="15" t="s">
        <v>1039</v>
      </c>
      <c r="O363" s="15" t="s">
        <v>98</v>
      </c>
      <c r="P363" s="15" t="s">
        <v>351</v>
      </c>
      <c r="Q363" s="15"/>
      <c r="R363" s="15" t="s">
        <v>127</v>
      </c>
      <c r="S363" s="15" t="s">
        <v>114</v>
      </c>
      <c r="T363" s="15" t="s">
        <v>114</v>
      </c>
      <c r="U363" s="15" t="s">
        <v>7</v>
      </c>
      <c r="V363" s="15" t="s">
        <v>1837</v>
      </c>
      <c r="W363" s="13" t="s">
        <v>102</v>
      </c>
      <c r="X363" s="13" t="s">
        <v>31</v>
      </c>
    </row>
    <row r="364" customHeight="1" spans="1:24">
      <c r="A364" s="15" t="s">
        <v>1838</v>
      </c>
      <c r="B364" s="15" t="s">
        <v>42</v>
      </c>
      <c r="C364" s="15" t="s">
        <v>221</v>
      </c>
      <c r="D364" s="15" t="s">
        <v>222</v>
      </c>
      <c r="E364" s="15" t="s">
        <v>89</v>
      </c>
      <c r="F364" s="15" t="s">
        <v>89</v>
      </c>
      <c r="G364" s="15" t="s">
        <v>120</v>
      </c>
      <c r="H364" s="15" t="s">
        <v>91</v>
      </c>
      <c r="I364" s="15" t="s">
        <v>92</v>
      </c>
      <c r="J364" s="15" t="s">
        <v>1625</v>
      </c>
      <c r="K364" s="16" t="s">
        <v>1626</v>
      </c>
      <c r="L364" s="16" t="s">
        <v>1839</v>
      </c>
      <c r="M364" s="16" t="s">
        <v>1840</v>
      </c>
      <c r="N364" s="15" t="s">
        <v>1039</v>
      </c>
      <c r="O364" s="15" t="s">
        <v>98</v>
      </c>
      <c r="P364" s="15" t="s">
        <v>351</v>
      </c>
      <c r="Q364" s="15"/>
      <c r="R364" s="15" t="s">
        <v>127</v>
      </c>
      <c r="S364" s="15" t="s">
        <v>114</v>
      </c>
      <c r="T364" s="15" t="s">
        <v>114</v>
      </c>
      <c r="U364" s="15" t="s">
        <v>7</v>
      </c>
      <c r="V364" s="15" t="s">
        <v>1841</v>
      </c>
      <c r="W364" s="13" t="s">
        <v>102</v>
      </c>
      <c r="X364" s="13" t="s">
        <v>31</v>
      </c>
    </row>
    <row r="365" customHeight="1" spans="1:24">
      <c r="A365" s="15" t="s">
        <v>1842</v>
      </c>
      <c r="B365" s="15" t="s">
        <v>42</v>
      </c>
      <c r="C365" s="15" t="s">
        <v>221</v>
      </c>
      <c r="D365" s="15" t="s">
        <v>222</v>
      </c>
      <c r="E365" s="15" t="s">
        <v>89</v>
      </c>
      <c r="F365" s="15" t="s">
        <v>89</v>
      </c>
      <c r="G365" s="15" t="s">
        <v>120</v>
      </c>
      <c r="H365" s="15" t="s">
        <v>91</v>
      </c>
      <c r="I365" s="15" t="s">
        <v>92</v>
      </c>
      <c r="J365" s="15" t="s">
        <v>1625</v>
      </c>
      <c r="K365" s="16" t="s">
        <v>1626</v>
      </c>
      <c r="L365" s="16" t="s">
        <v>1843</v>
      </c>
      <c r="M365" s="16" t="s">
        <v>1844</v>
      </c>
      <c r="N365" s="15" t="s">
        <v>1039</v>
      </c>
      <c r="O365" s="15" t="s">
        <v>98</v>
      </c>
      <c r="P365" s="15" t="s">
        <v>351</v>
      </c>
      <c r="Q365" s="15"/>
      <c r="R365" s="15" t="s">
        <v>127</v>
      </c>
      <c r="S365" s="15" t="s">
        <v>114</v>
      </c>
      <c r="T365" s="15" t="s">
        <v>114</v>
      </c>
      <c r="U365" s="15" t="s">
        <v>7</v>
      </c>
      <c r="V365" s="15" t="s">
        <v>1845</v>
      </c>
      <c r="W365" s="13" t="s">
        <v>102</v>
      </c>
      <c r="X365" s="13" t="s">
        <v>31</v>
      </c>
    </row>
    <row r="366" customHeight="1" spans="1:24">
      <c r="A366" s="15" t="s">
        <v>1846</v>
      </c>
      <c r="B366" s="15" t="s">
        <v>42</v>
      </c>
      <c r="C366" s="15" t="s">
        <v>221</v>
      </c>
      <c r="D366" s="15" t="s">
        <v>222</v>
      </c>
      <c r="E366" s="15" t="s">
        <v>89</v>
      </c>
      <c r="F366" s="15" t="s">
        <v>89</v>
      </c>
      <c r="G366" s="15" t="s">
        <v>120</v>
      </c>
      <c r="H366" s="15" t="s">
        <v>91</v>
      </c>
      <c r="I366" s="15" t="s">
        <v>92</v>
      </c>
      <c r="J366" s="15" t="s">
        <v>1625</v>
      </c>
      <c r="K366" s="16" t="s">
        <v>1626</v>
      </c>
      <c r="L366" s="16" t="s">
        <v>1847</v>
      </c>
      <c r="M366" s="16" t="s">
        <v>1848</v>
      </c>
      <c r="N366" s="15" t="s">
        <v>1039</v>
      </c>
      <c r="O366" s="15" t="s">
        <v>98</v>
      </c>
      <c r="P366" s="15" t="s">
        <v>351</v>
      </c>
      <c r="Q366" s="15"/>
      <c r="R366" s="15" t="s">
        <v>127</v>
      </c>
      <c r="S366" s="15" t="s">
        <v>114</v>
      </c>
      <c r="T366" s="15" t="s">
        <v>114</v>
      </c>
      <c r="U366" s="15" t="s">
        <v>7</v>
      </c>
      <c r="V366" s="15" t="s">
        <v>1849</v>
      </c>
      <c r="W366" s="13" t="s">
        <v>102</v>
      </c>
      <c r="X366" s="13" t="s">
        <v>31</v>
      </c>
    </row>
    <row r="367" customHeight="1" spans="1:24">
      <c r="A367" s="15" t="s">
        <v>1850</v>
      </c>
      <c r="B367" s="15" t="s">
        <v>42</v>
      </c>
      <c r="C367" s="15" t="s">
        <v>221</v>
      </c>
      <c r="D367" s="15" t="s">
        <v>222</v>
      </c>
      <c r="E367" s="15" t="s">
        <v>89</v>
      </c>
      <c r="F367" s="15" t="s">
        <v>89</v>
      </c>
      <c r="G367" s="15" t="s">
        <v>120</v>
      </c>
      <c r="H367" s="15" t="s">
        <v>91</v>
      </c>
      <c r="I367" s="15" t="s">
        <v>92</v>
      </c>
      <c r="J367" s="15" t="s">
        <v>1625</v>
      </c>
      <c r="K367" s="16" t="s">
        <v>1626</v>
      </c>
      <c r="L367" s="16" t="s">
        <v>1851</v>
      </c>
      <c r="M367" s="16" t="s">
        <v>1852</v>
      </c>
      <c r="N367" s="15" t="s">
        <v>1039</v>
      </c>
      <c r="O367" s="15" t="s">
        <v>98</v>
      </c>
      <c r="P367" s="15" t="s">
        <v>351</v>
      </c>
      <c r="Q367" s="15"/>
      <c r="R367" s="15" t="s">
        <v>127</v>
      </c>
      <c r="S367" s="15" t="s">
        <v>114</v>
      </c>
      <c r="T367" s="15" t="s">
        <v>114</v>
      </c>
      <c r="U367" s="15" t="s">
        <v>7</v>
      </c>
      <c r="V367" s="15" t="s">
        <v>1853</v>
      </c>
      <c r="W367" s="13" t="s">
        <v>102</v>
      </c>
      <c r="X367" s="13" t="s">
        <v>31</v>
      </c>
    </row>
    <row r="368" customHeight="1" spans="1:24">
      <c r="A368" s="15" t="s">
        <v>1854</v>
      </c>
      <c r="B368" s="15" t="s">
        <v>27</v>
      </c>
      <c r="C368" s="15" t="s">
        <v>1414</v>
      </c>
      <c r="D368" s="15" t="s">
        <v>1415</v>
      </c>
      <c r="E368" s="15" t="s">
        <v>89</v>
      </c>
      <c r="F368" s="15" t="s">
        <v>89</v>
      </c>
      <c r="G368" s="15" t="s">
        <v>120</v>
      </c>
      <c r="H368" s="15" t="s">
        <v>91</v>
      </c>
      <c r="I368" s="15" t="s">
        <v>92</v>
      </c>
      <c r="J368" s="15" t="s">
        <v>94</v>
      </c>
      <c r="K368" s="16" t="s">
        <v>207</v>
      </c>
      <c r="L368" s="16" t="s">
        <v>1855</v>
      </c>
      <c r="M368" s="16" t="s">
        <v>1856</v>
      </c>
      <c r="N368" s="15" t="s">
        <v>1857</v>
      </c>
      <c r="O368" s="15" t="s">
        <v>98</v>
      </c>
      <c r="P368" s="15" t="s">
        <v>126</v>
      </c>
      <c r="Q368" s="15"/>
      <c r="R368" s="15" t="s">
        <v>1419</v>
      </c>
      <c r="S368" s="15" t="str">
        <f>HYPERLINK("http://ovopark.oss-cn-hangzhou.aliyuncs.com/202009041359361597.jpeg?x-oss-process=image/resize,w_700,l_700","查看图片")</f>
        <v>查看图片</v>
      </c>
      <c r="T368" s="15" t="s">
        <v>114</v>
      </c>
      <c r="U368" s="15" t="s">
        <v>15</v>
      </c>
      <c r="V368" s="15" t="s">
        <v>1858</v>
      </c>
      <c r="W368" s="13" t="s">
        <v>102</v>
      </c>
      <c r="X368" s="13" t="s">
        <v>22</v>
      </c>
    </row>
    <row r="369" customHeight="1" spans="1:24">
      <c r="A369" s="15" t="s">
        <v>1859</v>
      </c>
      <c r="B369" s="15" t="s">
        <v>27</v>
      </c>
      <c r="C369" s="15" t="s">
        <v>337</v>
      </c>
      <c r="D369" s="15" t="s">
        <v>689</v>
      </c>
      <c r="E369" s="15" t="s">
        <v>658</v>
      </c>
      <c r="F369" s="15" t="s">
        <v>89</v>
      </c>
      <c r="G369" s="15" t="s">
        <v>120</v>
      </c>
      <c r="H369" s="15" t="s">
        <v>91</v>
      </c>
      <c r="I369" s="15" t="s">
        <v>92</v>
      </c>
      <c r="J369" s="15" t="s">
        <v>94</v>
      </c>
      <c r="K369" s="16" t="s">
        <v>207</v>
      </c>
      <c r="L369" s="16" t="s">
        <v>1860</v>
      </c>
      <c r="M369" s="16" t="s">
        <v>1861</v>
      </c>
      <c r="N369" s="15" t="s">
        <v>1857</v>
      </c>
      <c r="O369" s="15" t="s">
        <v>98</v>
      </c>
      <c r="P369" s="15" t="s">
        <v>126</v>
      </c>
      <c r="Q369" s="15"/>
      <c r="R369" s="15" t="s">
        <v>1862</v>
      </c>
      <c r="S369" s="15" t="s">
        <v>114</v>
      </c>
      <c r="T369" s="15" t="s">
        <v>114</v>
      </c>
      <c r="U369" s="15" t="s">
        <v>15</v>
      </c>
      <c r="V369" s="15" t="s">
        <v>1863</v>
      </c>
      <c r="W369" s="13" t="s">
        <v>102</v>
      </c>
      <c r="X369" s="13" t="s">
        <v>22</v>
      </c>
    </row>
    <row r="370" customHeight="1" spans="1:24">
      <c r="A370" s="15" t="s">
        <v>1864</v>
      </c>
      <c r="B370" s="15" t="s">
        <v>27</v>
      </c>
      <c r="C370" s="15" t="s">
        <v>1183</v>
      </c>
      <c r="D370" s="15" t="s">
        <v>1865</v>
      </c>
      <c r="E370" s="15" t="s">
        <v>119</v>
      </c>
      <c r="F370" s="15" t="s">
        <v>89</v>
      </c>
      <c r="G370" s="15" t="s">
        <v>120</v>
      </c>
      <c r="H370" s="15" t="s">
        <v>91</v>
      </c>
      <c r="I370" s="15" t="s">
        <v>92</v>
      </c>
      <c r="J370" s="15" t="s">
        <v>94</v>
      </c>
      <c r="K370" s="16" t="s">
        <v>207</v>
      </c>
      <c r="L370" s="16" t="s">
        <v>1866</v>
      </c>
      <c r="M370" s="16" t="s">
        <v>1867</v>
      </c>
      <c r="N370" s="15" t="s">
        <v>1857</v>
      </c>
      <c r="O370" s="15" t="s">
        <v>98</v>
      </c>
      <c r="P370" s="15" t="s">
        <v>126</v>
      </c>
      <c r="Q370" s="15"/>
      <c r="R370" s="15" t="s">
        <v>1868</v>
      </c>
      <c r="S370" s="15" t="s">
        <v>114</v>
      </c>
      <c r="T370" s="15" t="s">
        <v>114</v>
      </c>
      <c r="U370" s="15" t="s">
        <v>15</v>
      </c>
      <c r="V370" s="15" t="s">
        <v>1869</v>
      </c>
      <c r="W370" s="13" t="s">
        <v>102</v>
      </c>
      <c r="X370" s="13" t="s">
        <v>22</v>
      </c>
    </row>
    <row r="371" customHeight="1" spans="1:24">
      <c r="A371" s="15" t="s">
        <v>1870</v>
      </c>
      <c r="B371" s="15" t="s">
        <v>36</v>
      </c>
      <c r="C371" s="15" t="s">
        <v>746</v>
      </c>
      <c r="D371" s="15" t="s">
        <v>747</v>
      </c>
      <c r="E371" s="15" t="s">
        <v>119</v>
      </c>
      <c r="F371" s="15" t="s">
        <v>89</v>
      </c>
      <c r="G371" s="15" t="s">
        <v>120</v>
      </c>
      <c r="H371" s="15" t="s">
        <v>91</v>
      </c>
      <c r="I371" s="15" t="s">
        <v>92</v>
      </c>
      <c r="J371" s="15" t="s">
        <v>94</v>
      </c>
      <c r="K371" s="16" t="s">
        <v>207</v>
      </c>
      <c r="L371" s="16" t="s">
        <v>1871</v>
      </c>
      <c r="M371" s="16" t="s">
        <v>1872</v>
      </c>
      <c r="N371" s="15" t="s">
        <v>1667</v>
      </c>
      <c r="O371" s="15" t="s">
        <v>98</v>
      </c>
      <c r="P371" s="15" t="s">
        <v>750</v>
      </c>
      <c r="Q371" s="15"/>
      <c r="R371" s="15" t="s">
        <v>127</v>
      </c>
      <c r="S371" s="15" t="str">
        <f>HYPERLINK("http://shopweb.tjgdyf.com:8090/snapshot/G_62/D_1933/p_18198/00141022c947_20200904080209_1.jpg","查看图片")</f>
        <v>查看图片</v>
      </c>
      <c r="T371" s="15" t="s">
        <v>114</v>
      </c>
      <c r="U371" s="15" t="s">
        <v>7</v>
      </c>
      <c r="V371" s="15" t="s">
        <v>1873</v>
      </c>
      <c r="W371" s="13" t="s">
        <v>102</v>
      </c>
      <c r="X371" s="13" t="s">
        <v>750</v>
      </c>
    </row>
    <row r="372" customHeight="1" spans="1:24">
      <c r="A372" s="15" t="s">
        <v>1874</v>
      </c>
      <c r="B372" s="15" t="s">
        <v>1875</v>
      </c>
      <c r="C372" s="15" t="s">
        <v>746</v>
      </c>
      <c r="D372" s="15" t="s">
        <v>747</v>
      </c>
      <c r="E372" s="15" t="s">
        <v>119</v>
      </c>
      <c r="F372" s="15" t="s">
        <v>89</v>
      </c>
      <c r="G372" s="15" t="s">
        <v>120</v>
      </c>
      <c r="H372" s="15" t="s">
        <v>91</v>
      </c>
      <c r="I372" s="15" t="s">
        <v>92</v>
      </c>
      <c r="J372" s="15" t="s">
        <v>1625</v>
      </c>
      <c r="K372" s="16" t="s">
        <v>1626</v>
      </c>
      <c r="L372" s="16" t="s">
        <v>1876</v>
      </c>
      <c r="M372" s="16" t="s">
        <v>1877</v>
      </c>
      <c r="N372" s="15" t="s">
        <v>1878</v>
      </c>
      <c r="O372" s="15" t="s">
        <v>98</v>
      </c>
      <c r="P372" s="15" t="s">
        <v>750</v>
      </c>
      <c r="Q372" s="15"/>
      <c r="R372" s="15" t="s">
        <v>127</v>
      </c>
      <c r="S372" s="15" t="str">
        <f>HYPERLINK("http://shopweb.tjgdyf.com:8090/snapshot/G_62/D_1281/p_41/00141012ba4a_20200905080210_1.jpg","查看图片")</f>
        <v>查看图片</v>
      </c>
      <c r="T372" s="15" t="s">
        <v>114</v>
      </c>
      <c r="U372" s="15" t="s">
        <v>7</v>
      </c>
      <c r="V372" s="15" t="s">
        <v>1879</v>
      </c>
      <c r="W372" s="13" t="s">
        <v>102</v>
      </c>
      <c r="X372" s="13" t="s">
        <v>750</v>
      </c>
    </row>
    <row r="373" customHeight="1" spans="1:24">
      <c r="A373" s="15" t="s">
        <v>1880</v>
      </c>
      <c r="B373" s="15" t="s">
        <v>655</v>
      </c>
      <c r="C373" s="15" t="s">
        <v>1414</v>
      </c>
      <c r="D373" s="15" t="s">
        <v>1881</v>
      </c>
      <c r="E373" s="15" t="s">
        <v>89</v>
      </c>
      <c r="F373" s="15" t="s">
        <v>89</v>
      </c>
      <c r="G373" s="15" t="s">
        <v>120</v>
      </c>
      <c r="H373" s="15" t="s">
        <v>91</v>
      </c>
      <c r="I373" s="15" t="s">
        <v>92</v>
      </c>
      <c r="J373" s="15" t="s">
        <v>1727</v>
      </c>
      <c r="K373" s="16" t="s">
        <v>1625</v>
      </c>
      <c r="L373" s="16" t="s">
        <v>1882</v>
      </c>
      <c r="M373" s="16" t="s">
        <v>1883</v>
      </c>
      <c r="N373" s="15" t="s">
        <v>661</v>
      </c>
      <c r="O373" s="15" t="s">
        <v>98</v>
      </c>
      <c r="P373" s="15" t="s">
        <v>1730</v>
      </c>
      <c r="Q373" s="15"/>
      <c r="R373" s="15" t="s">
        <v>127</v>
      </c>
      <c r="S373" s="15" t="str">
        <f>HYPERLINK("http://ovopark.oss-cn-hangzhou.aliyuncs.com/202009021518403487.jpeg?x-oss-process=image/resize,w_700,l_700","查看图片")</f>
        <v>查看图片</v>
      </c>
      <c r="T373" s="15" t="str">
        <f>HYPERLINK("http://ovopark.oss-cn-hangzhou.aliyuncs.com/2132_680308239205699_image_1599380816229.jpg","查看图片")</f>
        <v>查看图片</v>
      </c>
      <c r="U373" s="15" t="s">
        <v>15</v>
      </c>
      <c r="V373" s="15" t="s">
        <v>1884</v>
      </c>
      <c r="W373" s="13" t="s">
        <v>137</v>
      </c>
      <c r="X373" s="13" t="s">
        <v>1732</v>
      </c>
    </row>
    <row r="374" customHeight="1" spans="1:24">
      <c r="A374" s="15" t="s">
        <v>1885</v>
      </c>
      <c r="B374" s="15" t="s">
        <v>655</v>
      </c>
      <c r="C374" s="15" t="s">
        <v>1414</v>
      </c>
      <c r="D374" s="15" t="s">
        <v>1886</v>
      </c>
      <c r="E374" s="15" t="s">
        <v>89</v>
      </c>
      <c r="F374" s="15" t="s">
        <v>89</v>
      </c>
      <c r="G374" s="15" t="s">
        <v>120</v>
      </c>
      <c r="H374" s="15" t="s">
        <v>91</v>
      </c>
      <c r="I374" s="15" t="s">
        <v>92</v>
      </c>
      <c r="J374" s="15" t="s">
        <v>1727</v>
      </c>
      <c r="K374" s="16" t="s">
        <v>1625</v>
      </c>
      <c r="L374" s="16" t="s">
        <v>1887</v>
      </c>
      <c r="M374" s="16" t="s">
        <v>1888</v>
      </c>
      <c r="N374" s="15" t="s">
        <v>661</v>
      </c>
      <c r="O374" s="15" t="s">
        <v>98</v>
      </c>
      <c r="P374" s="15" t="s">
        <v>1730</v>
      </c>
      <c r="Q374" s="15"/>
      <c r="R374" s="15" t="s">
        <v>127</v>
      </c>
      <c r="S374" s="15" t="str">
        <f>HYPERLINK("http://ovopark.oss-cn-hangzhou.aliyuncs.com/202009021515376779.jpeg?x-oss-process=image/resize,w_700,l_700","查看图片")</f>
        <v>查看图片</v>
      </c>
      <c r="T374" s="15" t="str">
        <f>HYPERLINK("http://ovopark.oss-cn-hangzhou.aliyuncs.com/2132_682267273903564_image_1599382949144.jpg","查看图片")</f>
        <v>查看图片</v>
      </c>
      <c r="U374" s="15" t="s">
        <v>15</v>
      </c>
      <c r="V374" s="15" t="s">
        <v>1889</v>
      </c>
      <c r="W374" s="13" t="s">
        <v>137</v>
      </c>
      <c r="X374" s="13" t="s">
        <v>1732</v>
      </c>
    </row>
    <row r="375" customHeight="1" spans="1:24">
      <c r="A375" s="15" t="s">
        <v>1890</v>
      </c>
      <c r="B375" s="15" t="s">
        <v>655</v>
      </c>
      <c r="C375" s="15" t="s">
        <v>1414</v>
      </c>
      <c r="D375" s="15" t="s">
        <v>1891</v>
      </c>
      <c r="E375" s="15" t="s">
        <v>89</v>
      </c>
      <c r="F375" s="15" t="s">
        <v>89</v>
      </c>
      <c r="G375" s="15" t="s">
        <v>120</v>
      </c>
      <c r="H375" s="15" t="s">
        <v>91</v>
      </c>
      <c r="I375" s="15" t="s">
        <v>92</v>
      </c>
      <c r="J375" s="15" t="s">
        <v>1727</v>
      </c>
      <c r="K375" s="16" t="s">
        <v>1625</v>
      </c>
      <c r="L375" s="16" t="s">
        <v>1892</v>
      </c>
      <c r="M375" s="16" t="s">
        <v>1893</v>
      </c>
      <c r="N375" s="15" t="s">
        <v>661</v>
      </c>
      <c r="O375" s="15" t="s">
        <v>98</v>
      </c>
      <c r="P375" s="15" t="s">
        <v>1730</v>
      </c>
      <c r="Q375" s="15"/>
      <c r="R375" s="15" t="s">
        <v>1894</v>
      </c>
      <c r="S375" s="15" t="str">
        <f>HYPERLINK("http://ovopark.oss-cn-hangzhou.aliyuncs.com/202009021516481897.jpeg?x-oss-process=image/resize,w_700,l_700","查看图片")</f>
        <v>查看图片</v>
      </c>
      <c r="T375" s="15" t="str">
        <f>HYPERLINK("http://ovopark.oss-cn-hangzhou.aliyuncs.com/2132_682385653391971_image_1599383072449.jpg","查看图片")</f>
        <v>查看图片</v>
      </c>
      <c r="U375" s="15" t="s">
        <v>15</v>
      </c>
      <c r="V375" s="15" t="s">
        <v>1895</v>
      </c>
      <c r="W375" s="13" t="s">
        <v>137</v>
      </c>
      <c r="X375" s="13" t="s">
        <v>1732</v>
      </c>
    </row>
    <row r="376" customHeight="1" spans="1:24">
      <c r="A376" s="15" t="s">
        <v>1896</v>
      </c>
      <c r="B376" s="15" t="s">
        <v>655</v>
      </c>
      <c r="C376" s="15" t="s">
        <v>1414</v>
      </c>
      <c r="D376" s="15" t="s">
        <v>1897</v>
      </c>
      <c r="E376" s="15" t="s">
        <v>89</v>
      </c>
      <c r="F376" s="15" t="s">
        <v>89</v>
      </c>
      <c r="G376" s="15" t="s">
        <v>120</v>
      </c>
      <c r="H376" s="15" t="s">
        <v>91</v>
      </c>
      <c r="I376" s="15" t="s">
        <v>92</v>
      </c>
      <c r="J376" s="15" t="s">
        <v>1727</v>
      </c>
      <c r="K376" s="16" t="s">
        <v>1625</v>
      </c>
      <c r="L376" s="16" t="s">
        <v>1898</v>
      </c>
      <c r="M376" s="16" t="s">
        <v>1899</v>
      </c>
      <c r="N376" s="15" t="s">
        <v>661</v>
      </c>
      <c r="O376" s="15" t="s">
        <v>98</v>
      </c>
      <c r="P376" s="15" t="s">
        <v>1730</v>
      </c>
      <c r="Q376" s="15"/>
      <c r="R376" s="15" t="s">
        <v>127</v>
      </c>
      <c r="S376" s="15" t="str">
        <f>HYPERLINK("http://ovopark.oss-cn-hangzhou.aliyuncs.com/202009021519089007.jpeg?x-oss-process=image/resize,w_700,l_700","查看图片")</f>
        <v>查看图片</v>
      </c>
      <c r="T376" s="15" t="str">
        <f>HYPERLINK("http://ovopark.oss-cn-hangzhou.aliyuncs.com/2132_682540989345206_image_1599383227535.jpg","查看图片")</f>
        <v>查看图片</v>
      </c>
      <c r="U376" s="15" t="s">
        <v>15</v>
      </c>
      <c r="V376" s="15" t="s">
        <v>1900</v>
      </c>
      <c r="W376" s="13" t="s">
        <v>137</v>
      </c>
      <c r="X376" s="13" t="s">
        <v>1732</v>
      </c>
    </row>
    <row r="377" customHeight="1" spans="1:24">
      <c r="A377" s="15" t="s">
        <v>1901</v>
      </c>
      <c r="B377" s="15" t="s">
        <v>45</v>
      </c>
      <c r="C377" s="15" t="s">
        <v>190</v>
      </c>
      <c r="D377" s="15" t="s">
        <v>191</v>
      </c>
      <c r="E377" s="15" t="s">
        <v>154</v>
      </c>
      <c r="F377" s="15" t="s">
        <v>89</v>
      </c>
      <c r="G377" s="15" t="s">
        <v>120</v>
      </c>
      <c r="H377" s="15" t="s">
        <v>91</v>
      </c>
      <c r="I377" s="15" t="s">
        <v>92</v>
      </c>
      <c r="J377" s="15" t="s">
        <v>93</v>
      </c>
      <c r="K377" s="16" t="s">
        <v>94</v>
      </c>
      <c r="L377" s="16" t="s">
        <v>1902</v>
      </c>
      <c r="M377" s="16" t="s">
        <v>1903</v>
      </c>
      <c r="N377" s="15" t="s">
        <v>492</v>
      </c>
      <c r="O377" s="15" t="s">
        <v>98</v>
      </c>
      <c r="P377" s="15" t="s">
        <v>160</v>
      </c>
      <c r="Q377" s="15"/>
      <c r="R377" s="15" t="s">
        <v>127</v>
      </c>
      <c r="S377" s="15" t="str">
        <f>HYPERLINK("http://shopweb.tjgdyf.com:8090/snapshot/G_62/D_1287/p_182/20200901235225.jpg","查看图片")</f>
        <v>查看图片</v>
      </c>
      <c r="T377" s="15" t="str">
        <f>HYPERLINK("http://ovopark.oss-cn-hangzhou.aliyuncs.com/2072_582246172316301_image_1599283032311.jpg","查看图片")</f>
        <v>查看图片</v>
      </c>
      <c r="U377" s="15" t="s">
        <v>7</v>
      </c>
      <c r="V377" s="15" t="s">
        <v>1904</v>
      </c>
      <c r="W377" s="13" t="s">
        <v>137</v>
      </c>
      <c r="X377" s="13" t="s">
        <v>494</v>
      </c>
    </row>
    <row r="378" customHeight="1" spans="1:24">
      <c r="A378" s="15" t="s">
        <v>1905</v>
      </c>
      <c r="B378" s="15" t="s">
        <v>45</v>
      </c>
      <c r="C378" s="15" t="s">
        <v>190</v>
      </c>
      <c r="D378" s="15" t="s">
        <v>191</v>
      </c>
      <c r="E378" s="15" t="s">
        <v>154</v>
      </c>
      <c r="F378" s="15" t="s">
        <v>89</v>
      </c>
      <c r="G378" s="15" t="s">
        <v>120</v>
      </c>
      <c r="H378" s="15" t="s">
        <v>91</v>
      </c>
      <c r="I378" s="15" t="s">
        <v>92</v>
      </c>
      <c r="J378" s="15" t="s">
        <v>93</v>
      </c>
      <c r="K378" s="16" t="s">
        <v>94</v>
      </c>
      <c r="L378" s="16" t="s">
        <v>1906</v>
      </c>
      <c r="M378" s="16" t="s">
        <v>1907</v>
      </c>
      <c r="N378" s="15" t="s">
        <v>492</v>
      </c>
      <c r="O378" s="15" t="s">
        <v>98</v>
      </c>
      <c r="P378" s="15" t="s">
        <v>160</v>
      </c>
      <c r="Q378" s="15"/>
      <c r="R378" s="15" t="s">
        <v>127</v>
      </c>
      <c r="S378" s="15" t="str">
        <f>HYPERLINK("http://shopweb.tjgdyf.com:8090/snapshot/G_62/D_1287/p_167/20200901235310.jpg","查看图片")</f>
        <v>查看图片</v>
      </c>
      <c r="T378" s="15" t="str">
        <f>HYPERLINK("http://ovopark.oss-cn-hangzhou.aliyuncs.com/2072_582157633427429_image_1599282942665.jpg","查看图片")</f>
        <v>查看图片</v>
      </c>
      <c r="U378" s="15" t="s">
        <v>7</v>
      </c>
      <c r="V378" s="15" t="s">
        <v>1908</v>
      </c>
      <c r="W378" s="13" t="s">
        <v>137</v>
      </c>
      <c r="X378" s="13" t="s">
        <v>494</v>
      </c>
    </row>
    <row r="379" customHeight="1" spans="1:24">
      <c r="A379" s="15" t="s">
        <v>1909</v>
      </c>
      <c r="B379" s="15" t="s">
        <v>45</v>
      </c>
      <c r="C379" s="15" t="s">
        <v>190</v>
      </c>
      <c r="D379" s="15" t="s">
        <v>191</v>
      </c>
      <c r="E379" s="15" t="s">
        <v>154</v>
      </c>
      <c r="F379" s="15" t="s">
        <v>89</v>
      </c>
      <c r="G379" s="15" t="s">
        <v>120</v>
      </c>
      <c r="H379" s="15" t="s">
        <v>91</v>
      </c>
      <c r="I379" s="15" t="s">
        <v>92</v>
      </c>
      <c r="J379" s="15" t="s">
        <v>93</v>
      </c>
      <c r="K379" s="16" t="s">
        <v>94</v>
      </c>
      <c r="L379" s="16" t="s">
        <v>1910</v>
      </c>
      <c r="M379" s="16" t="s">
        <v>1911</v>
      </c>
      <c r="N379" s="15" t="s">
        <v>492</v>
      </c>
      <c r="O379" s="15" t="s">
        <v>98</v>
      </c>
      <c r="P379" s="15" t="s">
        <v>160</v>
      </c>
      <c r="Q379" s="15"/>
      <c r="R379" s="15" t="s">
        <v>127</v>
      </c>
      <c r="S379" s="15" t="str">
        <f>HYPERLINK("http://shopweb.tjgdyf.com:8090/snapshot/G_62/D_1287/p_166/20200901235256.jpg","查看图片")</f>
        <v>查看图片</v>
      </c>
      <c r="T379" s="15" t="str">
        <f>HYPERLINK("http://ovopark.oss-cn-hangzhou.aliyuncs.com/2072_582186854978673_image_1599282965987.jpg","查看图片")</f>
        <v>查看图片</v>
      </c>
      <c r="U379" s="15" t="s">
        <v>7</v>
      </c>
      <c r="V379" s="15" t="s">
        <v>1912</v>
      </c>
      <c r="W379" s="13" t="s">
        <v>137</v>
      </c>
      <c r="X379" s="13" t="s">
        <v>494</v>
      </c>
    </row>
    <row r="380" customHeight="1" spans="1:24">
      <c r="A380" s="15" t="s">
        <v>1913</v>
      </c>
      <c r="B380" s="15" t="s">
        <v>45</v>
      </c>
      <c r="C380" s="15" t="s">
        <v>190</v>
      </c>
      <c r="D380" s="15" t="s">
        <v>191</v>
      </c>
      <c r="E380" s="15" t="s">
        <v>154</v>
      </c>
      <c r="F380" s="15" t="s">
        <v>89</v>
      </c>
      <c r="G380" s="15" t="s">
        <v>120</v>
      </c>
      <c r="H380" s="15" t="s">
        <v>91</v>
      </c>
      <c r="I380" s="15" t="s">
        <v>92</v>
      </c>
      <c r="J380" s="15" t="s">
        <v>93</v>
      </c>
      <c r="K380" s="16" t="s">
        <v>94</v>
      </c>
      <c r="L380" s="16" t="s">
        <v>1914</v>
      </c>
      <c r="M380" s="16" t="s">
        <v>1915</v>
      </c>
      <c r="N380" s="15" t="s">
        <v>492</v>
      </c>
      <c r="O380" s="15" t="s">
        <v>98</v>
      </c>
      <c r="P380" s="15" t="s">
        <v>160</v>
      </c>
      <c r="Q380" s="15"/>
      <c r="R380" s="15" t="s">
        <v>127</v>
      </c>
      <c r="S380" s="15" t="str">
        <f>HYPERLINK("http://shopweb.tjgdyf.com:8090/snapshot/G_62/D_1287/p_169/20200901235242.jpg","查看图片")</f>
        <v>查看图片</v>
      </c>
      <c r="T380" s="15" t="str">
        <f>HYPERLINK("http://ovopark.oss-cn-hangzhou.aliyuncs.com/2072_582210383638673_image_1599282996831.jpg","查看图片")</f>
        <v>查看图片</v>
      </c>
      <c r="U380" s="15" t="s">
        <v>7</v>
      </c>
      <c r="V380" s="15" t="s">
        <v>1916</v>
      </c>
      <c r="W380" s="13" t="s">
        <v>137</v>
      </c>
      <c r="X380" s="13" t="s">
        <v>494</v>
      </c>
    </row>
    <row r="381" customHeight="1" spans="1:24">
      <c r="A381" s="15" t="s">
        <v>1917</v>
      </c>
      <c r="B381" s="15" t="s">
        <v>11</v>
      </c>
      <c r="C381" s="15" t="s">
        <v>190</v>
      </c>
      <c r="D381" s="15" t="s">
        <v>283</v>
      </c>
      <c r="E381" s="15" t="s">
        <v>154</v>
      </c>
      <c r="F381" s="15" t="s">
        <v>89</v>
      </c>
      <c r="G381" s="15" t="s">
        <v>120</v>
      </c>
      <c r="H381" s="15" t="s">
        <v>91</v>
      </c>
      <c r="I381" s="15" t="s">
        <v>92</v>
      </c>
      <c r="J381" s="15" t="s">
        <v>93</v>
      </c>
      <c r="K381" s="16" t="s">
        <v>94</v>
      </c>
      <c r="L381" s="16" t="s">
        <v>1918</v>
      </c>
      <c r="M381" s="16" t="s">
        <v>1919</v>
      </c>
      <c r="N381" s="15" t="s">
        <v>1316</v>
      </c>
      <c r="O381" s="15" t="s">
        <v>98</v>
      </c>
      <c r="P381" s="15" t="s">
        <v>186</v>
      </c>
      <c r="Q381" s="15"/>
      <c r="R381" s="15" t="s">
        <v>127</v>
      </c>
      <c r="S381" s="15" t="str">
        <f>HYPERLINK("http://shopweb.tjgdyf.com:8090/snapshot/G_62/D_1302/p_455/20200901183318.jpg","查看图片")</f>
        <v>查看图片</v>
      </c>
      <c r="T381" s="15" t="str">
        <f>HYPERLINK("http://ovopark.oss-cn-hangzhou.aliyuncs.com/202009041515522028.jpeg","查看图片")</f>
        <v>查看图片</v>
      </c>
      <c r="U381" s="15" t="s">
        <v>7</v>
      </c>
      <c r="V381" s="15" t="s">
        <v>1920</v>
      </c>
      <c r="W381" s="13" t="s">
        <v>102</v>
      </c>
      <c r="X381" s="13" t="s">
        <v>6</v>
      </c>
    </row>
    <row r="382" customHeight="1" spans="1:24">
      <c r="A382" s="15" t="s">
        <v>1921</v>
      </c>
      <c r="B382" s="15" t="s">
        <v>16</v>
      </c>
      <c r="C382" s="15" t="s">
        <v>337</v>
      </c>
      <c r="D382" s="15" t="s">
        <v>338</v>
      </c>
      <c r="E382" s="15" t="s">
        <v>119</v>
      </c>
      <c r="F382" s="15" t="s">
        <v>89</v>
      </c>
      <c r="G382" s="15" t="s">
        <v>120</v>
      </c>
      <c r="H382" s="15" t="s">
        <v>91</v>
      </c>
      <c r="I382" s="15" t="s">
        <v>92</v>
      </c>
      <c r="J382" s="15" t="s">
        <v>93</v>
      </c>
      <c r="K382" s="16" t="s">
        <v>94</v>
      </c>
      <c r="L382" s="16" t="s">
        <v>1922</v>
      </c>
      <c r="M382" s="16" t="s">
        <v>1923</v>
      </c>
      <c r="N382" s="15" t="s">
        <v>1924</v>
      </c>
      <c r="O382" s="15" t="s">
        <v>98</v>
      </c>
      <c r="P382" s="15" t="s">
        <v>186</v>
      </c>
      <c r="Q382" s="15"/>
      <c r="R382" s="15" t="s">
        <v>127</v>
      </c>
      <c r="S382" s="15" t="str">
        <f>HYPERLINK("http://ovopark.oss-cn-hangzhou.aliyuncs.com/1970_228108173131268_compress_228108490222257_image_1598943271013.jpg?x-oss-process=image/resize,w_700,l_700","查看图片")</f>
        <v>查看图片</v>
      </c>
      <c r="T382" s="15" t="str">
        <f>HYPERLINK("http://ovopark.oss-cn-hangzhou.aliyuncs.com/2170_39990294326806_image_1599211443103.jpg","查看图片")</f>
        <v>查看图片</v>
      </c>
      <c r="U382" s="15" t="s">
        <v>15</v>
      </c>
      <c r="V382" s="15" t="s">
        <v>1925</v>
      </c>
      <c r="W382" s="13" t="s">
        <v>102</v>
      </c>
      <c r="X382" s="13" t="s">
        <v>6</v>
      </c>
    </row>
    <row r="383" customHeight="1" spans="1:24">
      <c r="A383" s="15" t="s">
        <v>1926</v>
      </c>
      <c r="B383" s="15" t="s">
        <v>8</v>
      </c>
      <c r="C383" s="15" t="s">
        <v>525</v>
      </c>
      <c r="D383" s="15" t="s">
        <v>526</v>
      </c>
      <c r="E383" s="15" t="s">
        <v>89</v>
      </c>
      <c r="F383" s="15" t="s">
        <v>89</v>
      </c>
      <c r="G383" s="15" t="s">
        <v>120</v>
      </c>
      <c r="H383" s="15" t="s">
        <v>91</v>
      </c>
      <c r="I383" s="15" t="s">
        <v>92</v>
      </c>
      <c r="J383" s="15" t="s">
        <v>93</v>
      </c>
      <c r="K383" s="16" t="s">
        <v>94</v>
      </c>
      <c r="L383" s="16" t="s">
        <v>1927</v>
      </c>
      <c r="M383" s="16" t="s">
        <v>1928</v>
      </c>
      <c r="N383" s="15" t="s">
        <v>579</v>
      </c>
      <c r="O383" s="15" t="s">
        <v>98</v>
      </c>
      <c r="P383" s="15" t="s">
        <v>186</v>
      </c>
      <c r="Q383" s="15"/>
      <c r="R383" s="15" t="s">
        <v>127</v>
      </c>
      <c r="S383" s="15" t="str">
        <f>HYPERLINK("http://ovopark.oss-cn-hangzhou.aliyuncs.com/1970_235222553145636_compress_235222813672094_image_1598951734454.jpg?x-oss-process=image/resize,w_700,l_700","查看图片")</f>
        <v>查看图片</v>
      </c>
      <c r="T383" s="15" t="str">
        <f>HYPERLINK("http://ovopark.oss-cn-hangzhou.aliyuncs.com/2167_7737673551735_image_1599292876908.jpg","查看图片")</f>
        <v>查看图片</v>
      </c>
      <c r="U383" s="15" t="s">
        <v>15</v>
      </c>
      <c r="V383" s="15" t="s">
        <v>1929</v>
      </c>
      <c r="W383" s="13" t="s">
        <v>137</v>
      </c>
      <c r="X383" s="13" t="s">
        <v>581</v>
      </c>
    </row>
    <row r="384" customHeight="1" spans="1:24">
      <c r="A384" s="15" t="s">
        <v>1930</v>
      </c>
      <c r="B384" s="15" t="s">
        <v>8</v>
      </c>
      <c r="C384" s="15" t="s">
        <v>1931</v>
      </c>
      <c r="D384" s="15" t="s">
        <v>1932</v>
      </c>
      <c r="E384" s="15" t="s">
        <v>119</v>
      </c>
      <c r="F384" s="15" t="s">
        <v>89</v>
      </c>
      <c r="G384" s="15" t="s">
        <v>120</v>
      </c>
      <c r="H384" s="15" t="s">
        <v>91</v>
      </c>
      <c r="I384" s="15" t="s">
        <v>92</v>
      </c>
      <c r="J384" s="15" t="s">
        <v>93</v>
      </c>
      <c r="K384" s="16" t="s">
        <v>94</v>
      </c>
      <c r="L384" s="16" t="s">
        <v>1933</v>
      </c>
      <c r="M384" s="16" t="s">
        <v>1934</v>
      </c>
      <c r="N384" s="15" t="s">
        <v>579</v>
      </c>
      <c r="O384" s="15" t="s">
        <v>98</v>
      </c>
      <c r="P384" s="15" t="s">
        <v>186</v>
      </c>
      <c r="Q384" s="15"/>
      <c r="R384" s="15" t="s">
        <v>1935</v>
      </c>
      <c r="S384" s="15" t="s">
        <v>114</v>
      </c>
      <c r="T384" s="15" t="str">
        <f>HYPERLINK("http://ovopark.oss-cn-hangzhou.aliyuncs.com/2167_7870767446840_image_1599293194942.jpg","查看图片")</f>
        <v>查看图片</v>
      </c>
      <c r="U384" s="15" t="s">
        <v>15</v>
      </c>
      <c r="V384" s="15" t="s">
        <v>1936</v>
      </c>
      <c r="W384" s="13" t="s">
        <v>137</v>
      </c>
      <c r="X384" s="13" t="s">
        <v>581</v>
      </c>
    </row>
    <row r="385" customHeight="1" spans="1:24">
      <c r="A385" s="15" t="s">
        <v>1937</v>
      </c>
      <c r="B385" s="15" t="s">
        <v>8</v>
      </c>
      <c r="C385" s="15" t="s">
        <v>434</v>
      </c>
      <c r="D385" s="15" t="s">
        <v>1938</v>
      </c>
      <c r="E385" s="15" t="s">
        <v>428</v>
      </c>
      <c r="F385" s="15" t="s">
        <v>89</v>
      </c>
      <c r="G385" s="15" t="s">
        <v>120</v>
      </c>
      <c r="H385" s="15" t="s">
        <v>91</v>
      </c>
      <c r="I385" s="15" t="s">
        <v>92</v>
      </c>
      <c r="J385" s="15" t="s">
        <v>93</v>
      </c>
      <c r="K385" s="16" t="s">
        <v>94</v>
      </c>
      <c r="L385" s="16" t="s">
        <v>1939</v>
      </c>
      <c r="M385" s="16" t="s">
        <v>1940</v>
      </c>
      <c r="N385" s="15" t="s">
        <v>579</v>
      </c>
      <c r="O385" s="15" t="s">
        <v>98</v>
      </c>
      <c r="P385" s="15" t="s">
        <v>186</v>
      </c>
      <c r="Q385" s="15"/>
      <c r="R385" s="15" t="s">
        <v>1941</v>
      </c>
      <c r="S385" s="15" t="s">
        <v>114</v>
      </c>
      <c r="T385" s="15" t="str">
        <f>HYPERLINK("http://ovopark.oss-cn-hangzhou.aliyuncs.com/2167_7902574241203_image_1599293227424.jpg","查看图片")</f>
        <v>查看图片</v>
      </c>
      <c r="U385" s="15" t="s">
        <v>15</v>
      </c>
      <c r="V385" s="15" t="s">
        <v>1942</v>
      </c>
      <c r="W385" s="13" t="s">
        <v>137</v>
      </c>
      <c r="X385" s="13" t="s">
        <v>581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Q14" sqref="Q14"/>
    </sheetView>
  </sheetViews>
  <sheetFormatPr defaultColWidth="9" defaultRowHeight="13.5"/>
  <sheetData>
    <row r="1" ht="36" spans="1:18">
      <c r="A1" s="1" t="s">
        <v>65</v>
      </c>
      <c r="B1" s="2" t="s">
        <v>1943</v>
      </c>
      <c r="C1" s="3" t="s">
        <v>1944</v>
      </c>
      <c r="D1" s="3" t="s">
        <v>1945</v>
      </c>
      <c r="E1" s="3" t="s">
        <v>1946</v>
      </c>
      <c r="F1" s="3" t="s">
        <v>1947</v>
      </c>
      <c r="G1" s="3" t="s">
        <v>1948</v>
      </c>
      <c r="H1" s="3" t="s">
        <v>1949</v>
      </c>
      <c r="I1" s="3" t="s">
        <v>1950</v>
      </c>
      <c r="J1" s="8" t="s">
        <v>1951</v>
      </c>
      <c r="K1" s="3" t="s">
        <v>1952</v>
      </c>
      <c r="L1" s="8" t="s">
        <v>1953</v>
      </c>
      <c r="M1" s="3" t="s">
        <v>1954</v>
      </c>
      <c r="N1" s="3" t="s">
        <v>1955</v>
      </c>
      <c r="O1" s="3" t="s">
        <v>1956</v>
      </c>
      <c r="P1" s="3" t="s">
        <v>1957</v>
      </c>
      <c r="Q1" s="3" t="s">
        <v>1958</v>
      </c>
      <c r="R1" s="10" t="s">
        <v>1959</v>
      </c>
    </row>
    <row r="2" ht="14.25" spans="1:18">
      <c r="A2" s="4">
        <v>1</v>
      </c>
      <c r="B2" s="5" t="s">
        <v>1960</v>
      </c>
      <c r="C2" s="6">
        <v>3</v>
      </c>
      <c r="D2" s="6">
        <v>3</v>
      </c>
      <c r="E2" s="6">
        <v>0</v>
      </c>
      <c r="F2" s="6">
        <v>0</v>
      </c>
      <c r="G2" s="7">
        <v>0</v>
      </c>
      <c r="H2" s="6">
        <v>516</v>
      </c>
      <c r="I2" s="6">
        <v>507</v>
      </c>
      <c r="J2" s="9">
        <v>0.9826</v>
      </c>
      <c r="K2" s="6">
        <v>9</v>
      </c>
      <c r="L2" s="9">
        <v>0.0174</v>
      </c>
      <c r="M2" s="6">
        <v>1</v>
      </c>
      <c r="N2" s="7">
        <v>0.1111</v>
      </c>
      <c r="O2" s="6">
        <v>0</v>
      </c>
      <c r="P2" s="7">
        <v>0</v>
      </c>
      <c r="Q2" s="6">
        <v>8</v>
      </c>
      <c r="R2" s="11">
        <v>0.8889</v>
      </c>
    </row>
    <row r="3" ht="14.25" spans="1:18">
      <c r="A3" s="4">
        <v>2</v>
      </c>
      <c r="B3" s="5" t="s">
        <v>1961</v>
      </c>
      <c r="C3" s="6">
        <v>27</v>
      </c>
      <c r="D3" s="6">
        <v>21</v>
      </c>
      <c r="E3" s="6">
        <v>6</v>
      </c>
      <c r="F3" s="6">
        <v>2</v>
      </c>
      <c r="G3" s="7">
        <v>0.095</v>
      </c>
      <c r="H3" s="6">
        <v>4035</v>
      </c>
      <c r="I3" s="6">
        <v>3789</v>
      </c>
      <c r="J3" s="9">
        <v>0.939</v>
      </c>
      <c r="K3" s="6">
        <v>246</v>
      </c>
      <c r="L3" s="9">
        <v>0.061</v>
      </c>
      <c r="M3" s="6">
        <v>0</v>
      </c>
      <c r="N3" s="7">
        <v>0</v>
      </c>
      <c r="O3" s="6">
        <v>0</v>
      </c>
      <c r="P3" s="7">
        <v>0</v>
      </c>
      <c r="Q3" s="6">
        <v>246</v>
      </c>
      <c r="R3" s="11">
        <v>1</v>
      </c>
    </row>
    <row r="4" ht="14.25" spans="1:18">
      <c r="A4" s="4">
        <v>3</v>
      </c>
      <c r="B4" s="5" t="s">
        <v>1962</v>
      </c>
      <c r="C4" s="6">
        <v>33</v>
      </c>
      <c r="D4" s="6">
        <v>31</v>
      </c>
      <c r="E4" s="6">
        <v>2</v>
      </c>
      <c r="F4" s="6">
        <v>1</v>
      </c>
      <c r="G4" s="7">
        <v>0.032</v>
      </c>
      <c r="H4" s="6">
        <v>9618</v>
      </c>
      <c r="I4" s="6">
        <v>9403</v>
      </c>
      <c r="J4" s="9">
        <v>0.9776</v>
      </c>
      <c r="K4" s="6">
        <v>215</v>
      </c>
      <c r="L4" s="9">
        <v>0.0224</v>
      </c>
      <c r="M4" s="6">
        <v>0</v>
      </c>
      <c r="N4" s="7">
        <v>0</v>
      </c>
      <c r="O4" s="6">
        <v>1</v>
      </c>
      <c r="P4" s="7">
        <v>0.0047</v>
      </c>
      <c r="Q4" s="6">
        <v>214</v>
      </c>
      <c r="R4" s="11">
        <v>0.9953</v>
      </c>
    </row>
    <row r="5" ht="14.25" spans="1:18">
      <c r="A5" s="4">
        <v>4</v>
      </c>
      <c r="B5" s="5" t="s">
        <v>1963</v>
      </c>
      <c r="C5" s="6">
        <v>26</v>
      </c>
      <c r="D5" s="6">
        <v>26</v>
      </c>
      <c r="E5" s="6">
        <v>0</v>
      </c>
      <c r="F5" s="6">
        <v>0</v>
      </c>
      <c r="G5" s="7">
        <v>0</v>
      </c>
      <c r="H5" s="6">
        <v>8380</v>
      </c>
      <c r="I5" s="6">
        <v>7841</v>
      </c>
      <c r="J5" s="9">
        <v>0.9357</v>
      </c>
      <c r="K5" s="6">
        <v>539</v>
      </c>
      <c r="L5" s="9">
        <v>0.0643</v>
      </c>
      <c r="M5" s="6">
        <v>0</v>
      </c>
      <c r="N5" s="7">
        <v>0</v>
      </c>
      <c r="O5" s="6">
        <v>0</v>
      </c>
      <c r="P5" s="7">
        <v>0</v>
      </c>
      <c r="Q5" s="6">
        <v>539</v>
      </c>
      <c r="R5" s="11">
        <v>1</v>
      </c>
    </row>
    <row r="6" ht="14.25" spans="1:18">
      <c r="A6" s="4">
        <v>5</v>
      </c>
      <c r="B6" s="5" t="s">
        <v>1964</v>
      </c>
      <c r="C6" s="6">
        <v>17</v>
      </c>
      <c r="D6" s="6">
        <v>16</v>
      </c>
      <c r="E6" s="6">
        <v>1</v>
      </c>
      <c r="F6" s="6">
        <v>1</v>
      </c>
      <c r="G6" s="7">
        <v>0.063</v>
      </c>
      <c r="H6" s="6">
        <v>5591</v>
      </c>
      <c r="I6" s="6">
        <v>5095</v>
      </c>
      <c r="J6" s="9">
        <v>0.9113</v>
      </c>
      <c r="K6" s="6">
        <v>496</v>
      </c>
      <c r="L6" s="9">
        <v>0.0887</v>
      </c>
      <c r="M6" s="6">
        <v>0</v>
      </c>
      <c r="N6" s="7">
        <v>0</v>
      </c>
      <c r="O6" s="6">
        <v>0</v>
      </c>
      <c r="P6" s="7">
        <v>0</v>
      </c>
      <c r="Q6" s="6">
        <v>496</v>
      </c>
      <c r="R6" s="11">
        <v>1</v>
      </c>
    </row>
    <row r="7" ht="14.25" spans="1:18">
      <c r="A7" s="4">
        <v>6</v>
      </c>
      <c r="B7" s="5" t="s">
        <v>1965</v>
      </c>
      <c r="C7" s="6">
        <v>5</v>
      </c>
      <c r="D7" s="6">
        <v>5</v>
      </c>
      <c r="E7" s="6">
        <v>0</v>
      </c>
      <c r="F7" s="6">
        <v>2</v>
      </c>
      <c r="G7" s="7">
        <v>0.4</v>
      </c>
      <c r="H7" s="6">
        <v>336</v>
      </c>
      <c r="I7" s="6">
        <v>323</v>
      </c>
      <c r="J7" s="9">
        <v>0.9613</v>
      </c>
      <c r="K7" s="6">
        <v>13</v>
      </c>
      <c r="L7" s="9">
        <v>0.0387</v>
      </c>
      <c r="M7" s="6">
        <v>0</v>
      </c>
      <c r="N7" s="7">
        <v>0</v>
      </c>
      <c r="O7" s="6">
        <v>0</v>
      </c>
      <c r="P7" s="7">
        <v>0</v>
      </c>
      <c r="Q7" s="6">
        <v>13</v>
      </c>
      <c r="R7" s="11">
        <v>1</v>
      </c>
    </row>
    <row r="8" ht="14.25" spans="1:18">
      <c r="A8" s="4">
        <v>7</v>
      </c>
      <c r="B8" s="5" t="s">
        <v>1966</v>
      </c>
      <c r="C8" s="6">
        <v>7</v>
      </c>
      <c r="D8" s="6">
        <v>5</v>
      </c>
      <c r="E8" s="6">
        <v>2</v>
      </c>
      <c r="F8" s="6">
        <v>0</v>
      </c>
      <c r="G8" s="7">
        <v>0</v>
      </c>
      <c r="H8" s="6">
        <v>867</v>
      </c>
      <c r="I8" s="6">
        <v>781</v>
      </c>
      <c r="J8" s="9">
        <v>0.9008</v>
      </c>
      <c r="K8" s="6">
        <v>86</v>
      </c>
      <c r="L8" s="9">
        <v>0.0992</v>
      </c>
      <c r="M8" s="6">
        <v>0</v>
      </c>
      <c r="N8" s="7">
        <v>0</v>
      </c>
      <c r="O8" s="6">
        <v>0</v>
      </c>
      <c r="P8" s="7">
        <v>0</v>
      </c>
      <c r="Q8" s="6">
        <v>86</v>
      </c>
      <c r="R8" s="11">
        <v>1</v>
      </c>
    </row>
    <row r="9" ht="14.25" spans="1:18">
      <c r="A9" s="4">
        <v>8</v>
      </c>
      <c r="B9" s="5" t="s">
        <v>1967</v>
      </c>
      <c r="C9" s="6">
        <v>10</v>
      </c>
      <c r="D9" s="6">
        <v>10</v>
      </c>
      <c r="E9" s="6">
        <v>0</v>
      </c>
      <c r="F9" s="6">
        <v>8</v>
      </c>
      <c r="G9" s="7">
        <v>0.8</v>
      </c>
      <c r="H9" s="6">
        <v>1010</v>
      </c>
      <c r="I9" s="6">
        <v>1004</v>
      </c>
      <c r="J9" s="9">
        <v>0.9941</v>
      </c>
      <c r="K9" s="6">
        <v>6</v>
      </c>
      <c r="L9" s="9">
        <v>0.0059</v>
      </c>
      <c r="M9" s="6">
        <v>0</v>
      </c>
      <c r="N9" s="7">
        <v>0</v>
      </c>
      <c r="O9" s="6">
        <v>0</v>
      </c>
      <c r="P9" s="7">
        <v>0</v>
      </c>
      <c r="Q9" s="6">
        <v>6</v>
      </c>
      <c r="R9" s="11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过期问题汇总</vt:lpstr>
      <vt:lpstr>过期问题明细</vt:lpstr>
      <vt:lpstr>9月点检完成率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☆美美维☆</cp:lastModifiedBy>
  <dcterms:created xsi:type="dcterms:W3CDTF">2020-10-13T01:32:00Z</dcterms:created>
  <dcterms:modified xsi:type="dcterms:W3CDTF">2020-10-13T11:17:29Z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