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770" windowHeight="8520" activeTab="1"/>
  </bookViews>
  <sheets>
    <sheet name="任务分配明细表 " sheetId="10" r:id="rId1"/>
    <sheet name="明细表" sheetId="9" r:id="rId2"/>
    <sheet name="政策明细表" sheetId="8" r:id="rId3"/>
    <sheet name="杨伟钰8月金牌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1" hidden="1">明细表!$A$1:$I$225</definedName>
    <definedName name="_xlnm._FilterDatabase" localSheetId="0" hidden="1">'任务分配明细表 '!$A$2:$IO$105</definedName>
    <definedName name="_xlnm._FilterDatabase" localSheetId="2" hidden="1">政策明细表!$A$2:$IK$26</definedName>
  </definedNames>
  <calcPr calcId="1445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L10"/>
  <c r="J10"/>
  <c r="L9"/>
  <c r="J9"/>
  <c r="L8"/>
  <c r="J8"/>
  <c r="L7"/>
  <c r="J7"/>
  <c r="L6"/>
  <c r="L5"/>
  <c r="L4"/>
  <c r="L3"/>
  <c r="J23" i="8"/>
  <c r="I23"/>
  <c r="H23"/>
  <c r="J19"/>
  <c r="I19"/>
  <c r="H19"/>
  <c r="J12"/>
  <c r="I12"/>
  <c r="H12"/>
  <c r="E225" i="9"/>
  <c r="E224"/>
  <c r="E222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CG105" i="10"/>
  <c r="CF105"/>
  <c r="CE105"/>
  <c r="CD105"/>
  <c r="CC105"/>
  <c r="CB105"/>
  <c r="CA105"/>
  <c r="BZ105"/>
  <c r="BY105"/>
  <c r="BX105"/>
  <c r="BW105"/>
  <c r="BV105"/>
  <c r="BU105"/>
  <c r="BT105"/>
  <c r="BS105"/>
  <c r="BR105"/>
  <c r="BQ105"/>
  <c r="BP105"/>
  <c r="BO105"/>
  <c r="BN105"/>
  <c r="BM105"/>
  <c r="BL105"/>
  <c r="BK105"/>
  <c r="BJ105"/>
  <c r="BI105"/>
  <c r="BH105"/>
  <c r="BG105"/>
  <c r="BF105"/>
  <c r="BE105"/>
  <c r="BD105"/>
  <c r="BC105"/>
  <c r="BB105"/>
  <c r="BA105"/>
  <c r="AZ105"/>
  <c r="AY105"/>
  <c r="AX105"/>
  <c r="AW105"/>
  <c r="AV105"/>
  <c r="AU105"/>
  <c r="AT105"/>
  <c r="AS105"/>
  <c r="AR105"/>
  <c r="AQ105"/>
  <c r="AP105"/>
  <c r="AO105"/>
  <c r="AN105"/>
  <c r="AM105"/>
  <c r="AL105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S105"/>
  <c r="R105"/>
  <c r="Q105"/>
  <c r="P105"/>
  <c r="O105"/>
  <c r="N105"/>
  <c r="M105"/>
  <c r="L105"/>
  <c r="K105"/>
  <c r="J105"/>
  <c r="I105"/>
  <c r="H105"/>
  <c r="G105"/>
  <c r="F105"/>
  <c r="E105"/>
  <c r="CG104"/>
  <c r="CF104"/>
  <c r="CE104"/>
  <c r="CD104"/>
  <c r="CC104"/>
  <c r="CB104"/>
  <c r="CA104"/>
  <c r="BZ104"/>
  <c r="BY104"/>
  <c r="BX104"/>
  <c r="BW104"/>
  <c r="BV104"/>
  <c r="BU104"/>
  <c r="BT104"/>
  <c r="BS104"/>
  <c r="BR104"/>
  <c r="BQ104"/>
  <c r="BP104"/>
  <c r="BO104"/>
  <c r="BN104"/>
  <c r="BM104"/>
  <c r="BL104"/>
  <c r="BK104"/>
  <c r="BJ104"/>
  <c r="BI104"/>
  <c r="BH104"/>
  <c r="BG104"/>
  <c r="BF104"/>
  <c r="BE104"/>
  <c r="BD104"/>
  <c r="BC104"/>
  <c r="BB104"/>
  <c r="BA104"/>
  <c r="AZ104"/>
  <c r="AY104"/>
  <c r="AX104"/>
  <c r="AW104"/>
  <c r="AV104"/>
  <c r="AU104"/>
  <c r="AT104"/>
  <c r="AS104"/>
  <c r="AR104"/>
  <c r="AQ104"/>
  <c r="AP104"/>
  <c r="AO104"/>
  <c r="AN104"/>
  <c r="AM104"/>
  <c r="AL104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S104"/>
  <c r="R104"/>
  <c r="Q104"/>
  <c r="P104"/>
  <c r="O104"/>
  <c r="N104"/>
  <c r="M104"/>
  <c r="L104"/>
  <c r="K104"/>
  <c r="J104"/>
  <c r="I104"/>
  <c r="H104"/>
  <c r="G104"/>
  <c r="F104"/>
  <c r="E104"/>
  <c r="CG103"/>
  <c r="CF103"/>
  <c r="CE103"/>
  <c r="CD103"/>
  <c r="CC103"/>
  <c r="CB103"/>
  <c r="BZ103"/>
  <c r="BY103"/>
  <c r="BX103"/>
  <c r="BW103"/>
  <c r="BP103"/>
  <c r="BO103"/>
  <c r="BN103"/>
  <c r="BM103"/>
  <c r="BF103"/>
  <c r="BE103"/>
  <c r="BD103"/>
  <c r="BB103"/>
  <c r="AY103"/>
  <c r="AX103"/>
  <c r="AW103"/>
  <c r="AV103"/>
  <c r="AU103"/>
  <c r="AT103"/>
  <c r="AM103"/>
  <c r="AL103"/>
  <c r="AK103"/>
  <c r="AJ103"/>
  <c r="AI103"/>
  <c r="AH103"/>
  <c r="AG103"/>
  <c r="Z103"/>
  <c r="Y103"/>
  <c r="X103"/>
  <c r="W103"/>
  <c r="Q103"/>
  <c r="P103"/>
  <c r="O103"/>
  <c r="N103"/>
  <c r="CG102"/>
  <c r="CF102"/>
  <c r="CE102"/>
  <c r="CD102"/>
  <c r="CC102"/>
  <c r="CB102"/>
  <c r="BZ102"/>
  <c r="BY102"/>
  <c r="BX102"/>
  <c r="BW102"/>
  <c r="BP102"/>
  <c r="BO102"/>
  <c r="BN102"/>
  <c r="BM102"/>
  <c r="BF102"/>
  <c r="BE102"/>
  <c r="BD102"/>
  <c r="BB102"/>
  <c r="AY102"/>
  <c r="AX102"/>
  <c r="AW102"/>
  <c r="AV102"/>
  <c r="AU102"/>
  <c r="AT102"/>
  <c r="AM102"/>
  <c r="AL102"/>
  <c r="AK102"/>
  <c r="AJ102"/>
  <c r="AI102"/>
  <c r="AH102"/>
  <c r="AG102"/>
  <c r="Z102"/>
  <c r="Y102"/>
  <c r="X102"/>
  <c r="W102"/>
  <c r="Q102"/>
  <c r="P102"/>
  <c r="O102"/>
  <c r="N102"/>
  <c r="M102"/>
  <c r="L102"/>
  <c r="K102"/>
  <c r="CG101"/>
  <c r="CF101"/>
  <c r="CE101"/>
  <c r="CD101"/>
  <c r="CC101"/>
  <c r="CB101"/>
  <c r="BZ101"/>
  <c r="BY101"/>
  <c r="BX101"/>
  <c r="BW101"/>
  <c r="BP101"/>
  <c r="BO101"/>
  <c r="BN101"/>
  <c r="BM101"/>
  <c r="BF101"/>
  <c r="BE101"/>
  <c r="BD101"/>
  <c r="BB101"/>
  <c r="AY101"/>
  <c r="AX101"/>
  <c r="AW101"/>
  <c r="AV101"/>
  <c r="AU101"/>
  <c r="AT101"/>
  <c r="AM101"/>
  <c r="AL101"/>
  <c r="AK101"/>
  <c r="AJ101"/>
  <c r="AI101"/>
  <c r="AH101"/>
  <c r="AG101"/>
  <c r="Z101"/>
  <c r="Y101"/>
  <c r="X101"/>
  <c r="W101"/>
  <c r="Q101"/>
  <c r="P101"/>
  <c r="O101"/>
  <c r="N101"/>
  <c r="M101"/>
  <c r="L101"/>
  <c r="K101"/>
  <c r="CG100"/>
  <c r="CF100"/>
  <c r="CE100"/>
  <c r="CD100"/>
  <c r="CC100"/>
  <c r="CB100"/>
  <c r="BZ100"/>
  <c r="BY100"/>
  <c r="BX100"/>
  <c r="BW100"/>
  <c r="BP100"/>
  <c r="BO100"/>
  <c r="BN100"/>
  <c r="BM100"/>
  <c r="BF100"/>
  <c r="BE100"/>
  <c r="BD100"/>
  <c r="BB100"/>
  <c r="AY100"/>
  <c r="AX100"/>
  <c r="AW100"/>
  <c r="AV100"/>
  <c r="AU100"/>
  <c r="AT100"/>
  <c r="AM100"/>
  <c r="AL100"/>
  <c r="AK100"/>
  <c r="AJ100"/>
  <c r="AI100"/>
  <c r="AH100"/>
  <c r="AG100"/>
  <c r="Z100"/>
  <c r="Y100"/>
  <c r="X100"/>
  <c r="W100"/>
  <c r="Q100"/>
  <c r="P100"/>
  <c r="O100"/>
  <c r="N100"/>
  <c r="M100"/>
  <c r="L100"/>
  <c r="K100"/>
  <c r="CG99"/>
  <c r="CF99"/>
  <c r="CE99"/>
  <c r="CD99"/>
  <c r="CC99"/>
  <c r="CB99"/>
  <c r="BZ99"/>
  <c r="BY99"/>
  <c r="BX99"/>
  <c r="BW99"/>
  <c r="BP99"/>
  <c r="BO99"/>
  <c r="BN99"/>
  <c r="BM99"/>
  <c r="BF99"/>
  <c r="BE99"/>
  <c r="BD99"/>
  <c r="BB99"/>
  <c r="AY99"/>
  <c r="AX99"/>
  <c r="AW99"/>
  <c r="AV99"/>
  <c r="AU99"/>
  <c r="AT99"/>
  <c r="AM99"/>
  <c r="AL99"/>
  <c r="AK99"/>
  <c r="AJ99"/>
  <c r="AI99"/>
  <c r="AH99"/>
  <c r="AG99"/>
  <c r="Z99"/>
  <c r="Y99"/>
  <c r="X99"/>
  <c r="W99"/>
  <c r="Q99"/>
  <c r="P99"/>
  <c r="O99"/>
  <c r="N99"/>
  <c r="CF98"/>
  <c r="CE98"/>
  <c r="CD98"/>
  <c r="CC98"/>
  <c r="CB98"/>
  <c r="CA98"/>
  <c r="BZ98"/>
  <c r="BY98"/>
  <c r="BX98"/>
  <c r="BW98"/>
  <c r="BQ98"/>
  <c r="BP98"/>
  <c r="BO98"/>
  <c r="BN98"/>
  <c r="BM98"/>
  <c r="BG98"/>
  <c r="BF98"/>
  <c r="BE98"/>
  <c r="BD98"/>
  <c r="BB98"/>
  <c r="BA98"/>
  <c r="AY98"/>
  <c r="AX98"/>
  <c r="AW98"/>
  <c r="AV98"/>
  <c r="AU98"/>
  <c r="AT98"/>
  <c r="AL98"/>
  <c r="AK98"/>
  <c r="AJ98"/>
  <c r="AI98"/>
  <c r="AH98"/>
  <c r="AG98"/>
  <c r="AA98"/>
  <c r="Y98"/>
  <c r="X98"/>
  <c r="W98"/>
  <c r="Q98"/>
  <c r="P98"/>
  <c r="O98"/>
  <c r="N98"/>
  <c r="CG97"/>
  <c r="CF97"/>
  <c r="CE97"/>
  <c r="CD97"/>
  <c r="CC97"/>
  <c r="CB97"/>
  <c r="BZ97"/>
  <c r="BY97"/>
  <c r="BX97"/>
  <c r="BW97"/>
  <c r="BR97"/>
  <c r="BQ97"/>
  <c r="BP97"/>
  <c r="BO97"/>
  <c r="BN97"/>
  <c r="BM97"/>
  <c r="BH97"/>
  <c r="BF97"/>
  <c r="BE97"/>
  <c r="BD97"/>
  <c r="BB97"/>
  <c r="BA97"/>
  <c r="AZ97"/>
  <c r="AX97"/>
  <c r="AW97"/>
  <c r="AV97"/>
  <c r="AU97"/>
  <c r="AT97"/>
  <c r="AO97"/>
  <c r="AN97"/>
  <c r="AL97"/>
  <c r="AK97"/>
  <c r="AJ97"/>
  <c r="AI97"/>
  <c r="AH97"/>
  <c r="AG97"/>
  <c r="AB97"/>
  <c r="AA97"/>
  <c r="Y97"/>
  <c r="X97"/>
  <c r="W97"/>
  <c r="V97"/>
  <c r="T97"/>
  <c r="S97"/>
  <c r="R97"/>
  <c r="P97"/>
  <c r="O97"/>
  <c r="N97"/>
  <c r="M97"/>
  <c r="L97"/>
  <c r="K97"/>
  <c r="CG96"/>
  <c r="CF96"/>
  <c r="CE96"/>
  <c r="CD96"/>
  <c r="CC96"/>
  <c r="CB96"/>
  <c r="CA96"/>
  <c r="BZ96"/>
  <c r="BY96"/>
  <c r="BX96"/>
  <c r="BW96"/>
  <c r="BQ96"/>
  <c r="BP96"/>
  <c r="BO96"/>
  <c r="BN96"/>
  <c r="BM96"/>
  <c r="BF96"/>
  <c r="BE96"/>
  <c r="BD96"/>
  <c r="BB96"/>
  <c r="BA96"/>
  <c r="AZ96"/>
  <c r="AX96"/>
  <c r="AW96"/>
  <c r="AV96"/>
  <c r="AU96"/>
  <c r="AT96"/>
  <c r="AM96"/>
  <c r="AL96"/>
  <c r="AK96"/>
  <c r="AJ96"/>
  <c r="AI96"/>
  <c r="AH96"/>
  <c r="AG96"/>
  <c r="Z96"/>
  <c r="Y96"/>
  <c r="X96"/>
  <c r="W96"/>
  <c r="Q96"/>
  <c r="P96"/>
  <c r="O96"/>
  <c r="N96"/>
  <c r="CG95"/>
  <c r="CF95"/>
  <c r="CE95"/>
  <c r="CD95"/>
  <c r="CC95"/>
  <c r="CB95"/>
  <c r="CA95"/>
  <c r="BZ95"/>
  <c r="BY95"/>
  <c r="BX95"/>
  <c r="BW95"/>
  <c r="BP95"/>
  <c r="BO95"/>
  <c r="BN95"/>
  <c r="BM95"/>
  <c r="BG95"/>
  <c r="BF95"/>
  <c r="BE95"/>
  <c r="BD95"/>
  <c r="BB95"/>
  <c r="BA95"/>
  <c r="AY95"/>
  <c r="AX95"/>
  <c r="AW95"/>
  <c r="AV95"/>
  <c r="AU95"/>
  <c r="AT95"/>
  <c r="AM95"/>
  <c r="AL95"/>
  <c r="AK95"/>
  <c r="AJ95"/>
  <c r="AI95"/>
  <c r="AH95"/>
  <c r="AG95"/>
  <c r="Z95"/>
  <c r="Y95"/>
  <c r="X95"/>
  <c r="W95"/>
  <c r="P95"/>
  <c r="O95"/>
  <c r="N95"/>
  <c r="M95"/>
  <c r="L95"/>
  <c r="K95"/>
  <c r="CG94"/>
  <c r="CF94"/>
  <c r="CE94"/>
  <c r="CD94"/>
  <c r="CC94"/>
  <c r="CB94"/>
  <c r="BZ94"/>
  <c r="BY94"/>
  <c r="BX94"/>
  <c r="BW94"/>
  <c r="BP94"/>
  <c r="BO94"/>
  <c r="BN94"/>
  <c r="BM94"/>
  <c r="BG94"/>
  <c r="BF94"/>
  <c r="BE94"/>
  <c r="BD94"/>
  <c r="BB94"/>
  <c r="BA94"/>
  <c r="AY94"/>
  <c r="AX94"/>
  <c r="AW94"/>
  <c r="AV94"/>
  <c r="AU94"/>
  <c r="AT94"/>
  <c r="AM94"/>
  <c r="AL94"/>
  <c r="AK94"/>
  <c r="AJ94"/>
  <c r="AI94"/>
  <c r="AH94"/>
  <c r="AG94"/>
  <c r="Z94"/>
  <c r="Y94"/>
  <c r="X94"/>
  <c r="W94"/>
  <c r="P94"/>
  <c r="O94"/>
  <c r="N94"/>
  <c r="M94"/>
  <c r="L94"/>
  <c r="K94"/>
  <c r="CG93"/>
  <c r="CF93"/>
  <c r="CE93"/>
  <c r="CD93"/>
  <c r="CC93"/>
  <c r="CB93"/>
  <c r="BZ93"/>
  <c r="BY93"/>
  <c r="BX93"/>
  <c r="BW93"/>
  <c r="BP93"/>
  <c r="BO93"/>
  <c r="BN93"/>
  <c r="BM93"/>
  <c r="BG93"/>
  <c r="BF93"/>
  <c r="BE93"/>
  <c r="BD93"/>
  <c r="BB93"/>
  <c r="AY93"/>
  <c r="AX93"/>
  <c r="AW93"/>
  <c r="AV93"/>
  <c r="AU93"/>
  <c r="AT93"/>
  <c r="AM93"/>
  <c r="AL93"/>
  <c r="AK93"/>
  <c r="AJ93"/>
  <c r="AI93"/>
  <c r="AH93"/>
  <c r="AG93"/>
  <c r="Z93"/>
  <c r="Y93"/>
  <c r="X93"/>
  <c r="W93"/>
  <c r="Q93"/>
  <c r="P93"/>
  <c r="O93"/>
  <c r="N93"/>
  <c r="M93"/>
  <c r="L93"/>
  <c r="K93"/>
  <c r="CG92"/>
  <c r="CF92"/>
  <c r="CE92"/>
  <c r="CD92"/>
  <c r="CC92"/>
  <c r="CB92"/>
  <c r="CA92"/>
  <c r="BZ92"/>
  <c r="BY92"/>
  <c r="BX92"/>
  <c r="BW92"/>
  <c r="BQ92"/>
  <c r="BP92"/>
  <c r="BO92"/>
  <c r="BN92"/>
  <c r="BM92"/>
  <c r="BF92"/>
  <c r="BE92"/>
  <c r="BD92"/>
  <c r="BB92"/>
  <c r="AY92"/>
  <c r="AX92"/>
  <c r="AW92"/>
  <c r="AV92"/>
  <c r="AU92"/>
  <c r="AT92"/>
  <c r="AM92"/>
  <c r="AL92"/>
  <c r="AK92"/>
  <c r="AJ92"/>
  <c r="AI92"/>
  <c r="AH92"/>
  <c r="AG92"/>
  <c r="AA92"/>
  <c r="Y92"/>
  <c r="X92"/>
  <c r="W92"/>
  <c r="Q92"/>
  <c r="P92"/>
  <c r="O92"/>
  <c r="N92"/>
  <c r="M92"/>
  <c r="L92"/>
  <c r="K92"/>
  <c r="CG91"/>
  <c r="CF91"/>
  <c r="CE91"/>
  <c r="CD91"/>
  <c r="CC91"/>
  <c r="CB91"/>
  <c r="CA91"/>
  <c r="BZ91"/>
  <c r="BY91"/>
  <c r="BX91"/>
  <c r="BW91"/>
  <c r="BQ91"/>
  <c r="BP91"/>
  <c r="BO91"/>
  <c r="BN91"/>
  <c r="BM91"/>
  <c r="BG91"/>
  <c r="BF91"/>
  <c r="BE91"/>
  <c r="BD91"/>
  <c r="BB91"/>
  <c r="BA91"/>
  <c r="AZ91"/>
  <c r="AX91"/>
  <c r="AW91"/>
  <c r="AV91"/>
  <c r="AU91"/>
  <c r="AT91"/>
  <c r="AN91"/>
  <c r="AL91"/>
  <c r="AK91"/>
  <c r="AJ91"/>
  <c r="AI91"/>
  <c r="AH91"/>
  <c r="AG91"/>
  <c r="Z91"/>
  <c r="Y91"/>
  <c r="X91"/>
  <c r="W91"/>
  <c r="P91"/>
  <c r="O91"/>
  <c r="N91"/>
  <c r="M91"/>
  <c r="L91"/>
  <c r="K91"/>
  <c r="CF90"/>
  <c r="CE90"/>
  <c r="CD90"/>
  <c r="CC90"/>
  <c r="CB90"/>
  <c r="CA90"/>
  <c r="BZ90"/>
  <c r="BY90"/>
  <c r="BX90"/>
  <c r="BW90"/>
  <c r="BQ90"/>
  <c r="BP90"/>
  <c r="BO90"/>
  <c r="BN90"/>
  <c r="BM90"/>
  <c r="BF90"/>
  <c r="BE90"/>
  <c r="BD90"/>
  <c r="BB90"/>
  <c r="BA90"/>
  <c r="AZ90"/>
  <c r="AX90"/>
  <c r="AW90"/>
  <c r="AV90"/>
  <c r="AU90"/>
  <c r="AT90"/>
  <c r="AN90"/>
  <c r="AL90"/>
  <c r="AK90"/>
  <c r="AJ90"/>
  <c r="AH90"/>
  <c r="AG90"/>
  <c r="Z90"/>
  <c r="Y90"/>
  <c r="X90"/>
  <c r="W90"/>
  <c r="Q90"/>
  <c r="P90"/>
  <c r="O90"/>
  <c r="N90"/>
  <c r="CG89"/>
  <c r="CF89"/>
  <c r="CE89"/>
  <c r="CD89"/>
  <c r="CC89"/>
  <c r="CB89"/>
  <c r="CA89"/>
  <c r="BZ89"/>
  <c r="BY89"/>
  <c r="BX89"/>
  <c r="BW89"/>
  <c r="BQ89"/>
  <c r="BP89"/>
  <c r="BO89"/>
  <c r="BN89"/>
  <c r="BM89"/>
  <c r="BG89"/>
  <c r="BF89"/>
  <c r="BE89"/>
  <c r="BD89"/>
  <c r="BB89"/>
  <c r="BA89"/>
  <c r="AZ89"/>
  <c r="AY89"/>
  <c r="AX89"/>
  <c r="AW89"/>
  <c r="AV89"/>
  <c r="AU89"/>
  <c r="AT89"/>
  <c r="AM89"/>
  <c r="AL89"/>
  <c r="AK89"/>
  <c r="AJ89"/>
  <c r="AI89"/>
  <c r="AH89"/>
  <c r="AG89"/>
  <c r="AA89"/>
  <c r="Y89"/>
  <c r="X89"/>
  <c r="W89"/>
  <c r="Q89"/>
  <c r="P89"/>
  <c r="O89"/>
  <c r="N89"/>
  <c r="CG88"/>
  <c r="CF88"/>
  <c r="CE88"/>
  <c r="CD88"/>
  <c r="CC88"/>
  <c r="CB88"/>
  <c r="BZ88"/>
  <c r="BY88"/>
  <c r="BX88"/>
  <c r="BW88"/>
  <c r="BQ88"/>
  <c r="BP88"/>
  <c r="BO88"/>
  <c r="BN88"/>
  <c r="BM88"/>
  <c r="BF88"/>
  <c r="BE88"/>
  <c r="BD88"/>
  <c r="BB88"/>
  <c r="AY88"/>
  <c r="AX88"/>
  <c r="AW88"/>
  <c r="AV88"/>
  <c r="AU88"/>
  <c r="AT88"/>
  <c r="AN88"/>
  <c r="AL88"/>
  <c r="AK88"/>
  <c r="AJ88"/>
  <c r="AI88"/>
  <c r="AH88"/>
  <c r="AG88"/>
  <c r="Z88"/>
  <c r="Y88"/>
  <c r="X88"/>
  <c r="W88"/>
  <c r="P88"/>
  <c r="O88"/>
  <c r="N88"/>
  <c r="M88"/>
  <c r="L88"/>
  <c r="K88"/>
  <c r="CG87"/>
  <c r="CF87"/>
  <c r="CE87"/>
  <c r="CD87"/>
  <c r="CC87"/>
  <c r="CB87"/>
  <c r="CA87"/>
  <c r="BZ87"/>
  <c r="BY87"/>
  <c r="BX87"/>
  <c r="BW87"/>
  <c r="BQ87"/>
  <c r="BP87"/>
  <c r="BO87"/>
  <c r="BN87"/>
  <c r="BM87"/>
  <c r="BG87"/>
  <c r="BF87"/>
  <c r="BE87"/>
  <c r="BD87"/>
  <c r="BB87"/>
  <c r="BA87"/>
  <c r="AY87"/>
  <c r="AX87"/>
  <c r="AW87"/>
  <c r="AV87"/>
  <c r="AU87"/>
  <c r="AT87"/>
  <c r="AM87"/>
  <c r="AL87"/>
  <c r="AK87"/>
  <c r="AJ87"/>
  <c r="AI87"/>
  <c r="AH87"/>
  <c r="AG87"/>
  <c r="AA87"/>
  <c r="Y87"/>
  <c r="X87"/>
  <c r="W87"/>
  <c r="Q87"/>
  <c r="P87"/>
  <c r="O87"/>
  <c r="N87"/>
  <c r="CG86"/>
  <c r="CF86"/>
  <c r="CE86"/>
  <c r="CD86"/>
  <c r="CC86"/>
  <c r="CB86"/>
  <c r="CA86"/>
  <c r="BZ86"/>
  <c r="BY86"/>
  <c r="BX86"/>
  <c r="BW86"/>
  <c r="BP86"/>
  <c r="BO86"/>
  <c r="BN86"/>
  <c r="BM86"/>
  <c r="BF86"/>
  <c r="BE86"/>
  <c r="BD86"/>
  <c r="BB86"/>
  <c r="BA86"/>
  <c r="AZ86"/>
  <c r="AX86"/>
  <c r="AW86"/>
  <c r="AV86"/>
  <c r="AU86"/>
  <c r="AT86"/>
  <c r="AN86"/>
  <c r="AL86"/>
  <c r="AK86"/>
  <c r="AJ86"/>
  <c r="AI86"/>
  <c r="AH86"/>
  <c r="AG86"/>
  <c r="Z86"/>
  <c r="Y86"/>
  <c r="X86"/>
  <c r="W86"/>
  <c r="Q86"/>
  <c r="P86"/>
  <c r="O86"/>
  <c r="N86"/>
  <c r="CG85"/>
  <c r="CF85"/>
  <c r="CE85"/>
  <c r="CD85"/>
  <c r="CC85"/>
  <c r="CB85"/>
  <c r="BZ85"/>
  <c r="BY85"/>
  <c r="BX85"/>
  <c r="BW85"/>
  <c r="BQ85"/>
  <c r="BP85"/>
  <c r="BO85"/>
  <c r="BN85"/>
  <c r="BM85"/>
  <c r="BG85"/>
  <c r="BF85"/>
  <c r="BE85"/>
  <c r="BD85"/>
  <c r="BB85"/>
  <c r="BA85"/>
  <c r="AY85"/>
  <c r="AX85"/>
  <c r="AW85"/>
  <c r="AV85"/>
  <c r="AU85"/>
  <c r="AT85"/>
  <c r="AM85"/>
  <c r="AL85"/>
  <c r="AK85"/>
  <c r="AJ85"/>
  <c r="AI85"/>
  <c r="AH85"/>
  <c r="AG85"/>
  <c r="Z85"/>
  <c r="Y85"/>
  <c r="X85"/>
  <c r="W85"/>
  <c r="P85"/>
  <c r="O85"/>
  <c r="N85"/>
  <c r="M85"/>
  <c r="L85"/>
  <c r="K85"/>
  <c r="CG84"/>
  <c r="CF84"/>
  <c r="CE84"/>
  <c r="CD84"/>
  <c r="CC84"/>
  <c r="CB84"/>
  <c r="BZ84"/>
  <c r="BY84"/>
  <c r="BX84"/>
  <c r="BW84"/>
  <c r="BQ84"/>
  <c r="BP84"/>
  <c r="BO84"/>
  <c r="BN84"/>
  <c r="BM84"/>
  <c r="BG84"/>
  <c r="BF84"/>
  <c r="BE84"/>
  <c r="BD84"/>
  <c r="BB84"/>
  <c r="AY84"/>
  <c r="AX84"/>
  <c r="AW84"/>
  <c r="AV84"/>
  <c r="AU84"/>
  <c r="AT84"/>
  <c r="AM84"/>
  <c r="AL84"/>
  <c r="AK84"/>
  <c r="AJ84"/>
  <c r="AI84"/>
  <c r="AH84"/>
  <c r="AG84"/>
  <c r="Z84"/>
  <c r="Y84"/>
  <c r="X84"/>
  <c r="W84"/>
  <c r="Q84"/>
  <c r="P84"/>
  <c r="O84"/>
  <c r="N84"/>
  <c r="M84"/>
  <c r="L84"/>
  <c r="K84"/>
  <c r="CG83"/>
  <c r="CF83"/>
  <c r="CE83"/>
  <c r="CD83"/>
  <c r="CC83"/>
  <c r="CB83"/>
  <c r="CA83"/>
  <c r="BZ83"/>
  <c r="BY83"/>
  <c r="BX83"/>
  <c r="BW83"/>
  <c r="BP83"/>
  <c r="BO83"/>
  <c r="BN83"/>
  <c r="BM83"/>
  <c r="BF83"/>
  <c r="BE83"/>
  <c r="BD83"/>
  <c r="BB83"/>
  <c r="BA83"/>
  <c r="AY83"/>
  <c r="AX83"/>
  <c r="AW83"/>
  <c r="AV83"/>
  <c r="AU83"/>
  <c r="AT83"/>
  <c r="AN83"/>
  <c r="AL83"/>
  <c r="AK83"/>
  <c r="AJ83"/>
  <c r="AI83"/>
  <c r="AH83"/>
  <c r="AG83"/>
  <c r="AA83"/>
  <c r="Y83"/>
  <c r="X83"/>
  <c r="W83"/>
  <c r="P83"/>
  <c r="O83"/>
  <c r="N83"/>
  <c r="M83"/>
  <c r="L83"/>
  <c r="K83"/>
  <c r="CG82"/>
  <c r="CF82"/>
  <c r="CE82"/>
  <c r="CD82"/>
  <c r="CC82"/>
  <c r="CB82"/>
  <c r="BZ82"/>
  <c r="BY82"/>
  <c r="BX82"/>
  <c r="BW82"/>
  <c r="BQ82"/>
  <c r="BP82"/>
  <c r="BO82"/>
  <c r="BN82"/>
  <c r="BM82"/>
  <c r="BF82"/>
  <c r="BE82"/>
  <c r="BD82"/>
  <c r="BB82"/>
  <c r="BA82"/>
  <c r="AY82"/>
  <c r="AX82"/>
  <c r="AW82"/>
  <c r="AV82"/>
  <c r="AU82"/>
  <c r="AT82"/>
  <c r="AM82"/>
  <c r="AL82"/>
  <c r="AK82"/>
  <c r="AJ82"/>
  <c r="AI82"/>
  <c r="AH82"/>
  <c r="AG82"/>
  <c r="Z82"/>
  <c r="Y82"/>
  <c r="X82"/>
  <c r="W82"/>
  <c r="Q82"/>
  <c r="P82"/>
  <c r="O82"/>
  <c r="N82"/>
  <c r="CG81"/>
  <c r="CF81"/>
  <c r="CE81"/>
  <c r="CD81"/>
  <c r="CC81"/>
  <c r="CB81"/>
  <c r="CA81"/>
  <c r="BZ81"/>
  <c r="BY81"/>
  <c r="BX81"/>
  <c r="BW81"/>
  <c r="BP81"/>
  <c r="BO81"/>
  <c r="BN81"/>
  <c r="BM81"/>
  <c r="BF81"/>
  <c r="BE81"/>
  <c r="BD81"/>
  <c r="BB81"/>
  <c r="BA81"/>
  <c r="AZ81"/>
  <c r="AX81"/>
  <c r="AW81"/>
  <c r="AV81"/>
  <c r="AU81"/>
  <c r="AT81"/>
  <c r="AN81"/>
  <c r="AL81"/>
  <c r="AK81"/>
  <c r="AJ81"/>
  <c r="AI81"/>
  <c r="AH81"/>
  <c r="AG81"/>
  <c r="AA81"/>
  <c r="Y81"/>
  <c r="X81"/>
  <c r="W81"/>
  <c r="Q81"/>
  <c r="P81"/>
  <c r="O81"/>
  <c r="N81"/>
  <c r="CG80"/>
  <c r="CF80"/>
  <c r="CE80"/>
  <c r="CD80"/>
  <c r="CC80"/>
  <c r="CB80"/>
  <c r="CA80"/>
  <c r="BZ80"/>
  <c r="BY80"/>
  <c r="BX80"/>
  <c r="BW80"/>
  <c r="BP80"/>
  <c r="BO80"/>
  <c r="BN80"/>
  <c r="BM80"/>
  <c r="BF80"/>
  <c r="BE80"/>
  <c r="BD80"/>
  <c r="BB80"/>
  <c r="AZ80"/>
  <c r="AX80"/>
  <c r="AW80"/>
  <c r="AV80"/>
  <c r="AU80"/>
  <c r="AT80"/>
  <c r="AN80"/>
  <c r="AL80"/>
  <c r="AK80"/>
  <c r="AJ80"/>
  <c r="AI80"/>
  <c r="AH80"/>
  <c r="AG80"/>
  <c r="AA80"/>
  <c r="Y80"/>
  <c r="X80"/>
  <c r="W80"/>
  <c r="Q80"/>
  <c r="P80"/>
  <c r="O80"/>
  <c r="N80"/>
  <c r="M80"/>
  <c r="L80"/>
  <c r="K80"/>
  <c r="CG79"/>
  <c r="CF79"/>
  <c r="CE79"/>
  <c r="CD79"/>
  <c r="CC79"/>
  <c r="CB79"/>
  <c r="CA79"/>
  <c r="BZ79"/>
  <c r="BY79"/>
  <c r="BX79"/>
  <c r="BW79"/>
  <c r="BV79"/>
  <c r="BU79"/>
  <c r="BT79"/>
  <c r="BS79"/>
  <c r="BR79"/>
  <c r="BQ79"/>
  <c r="BP79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CG78"/>
  <c r="CE78"/>
  <c r="CC78"/>
  <c r="CB78"/>
  <c r="CG77"/>
  <c r="CF77"/>
  <c r="CE77"/>
  <c r="CD77"/>
  <c r="CC77"/>
  <c r="CB77"/>
  <c r="CA77"/>
  <c r="BZ77"/>
  <c r="BY77"/>
  <c r="BX77"/>
  <c r="BW77"/>
  <c r="BV77"/>
  <c r="BU77"/>
  <c r="BT77"/>
  <c r="BS77"/>
  <c r="BR77"/>
  <c r="BQ77"/>
  <c r="BP77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CG76"/>
  <c r="CF76"/>
  <c r="CE76"/>
  <c r="CD76"/>
  <c r="CC76"/>
  <c r="CB76"/>
  <c r="BZ76"/>
  <c r="BY76"/>
  <c r="BX76"/>
  <c r="BW76"/>
  <c r="BP76"/>
  <c r="BO76"/>
  <c r="BN76"/>
  <c r="BM76"/>
  <c r="BF76"/>
  <c r="BE76"/>
  <c r="BD76"/>
  <c r="BB76"/>
  <c r="AY76"/>
  <c r="AX76"/>
  <c r="AW76"/>
  <c r="AV76"/>
  <c r="AU76"/>
  <c r="AT76"/>
  <c r="AM76"/>
  <c r="AL76"/>
  <c r="AK76"/>
  <c r="AJ76"/>
  <c r="AI76"/>
  <c r="AH76"/>
  <c r="AG76"/>
  <c r="Z76"/>
  <c r="Y76"/>
  <c r="X76"/>
  <c r="W76"/>
  <c r="Q76"/>
  <c r="P76"/>
  <c r="O76"/>
  <c r="N76"/>
  <c r="CG75"/>
  <c r="CF75"/>
  <c r="CE75"/>
  <c r="CD75"/>
  <c r="CC75"/>
  <c r="CB75"/>
  <c r="BZ75"/>
  <c r="BY75"/>
  <c r="BX75"/>
  <c r="BW75"/>
  <c r="BQ75"/>
  <c r="BP75"/>
  <c r="BO75"/>
  <c r="BN75"/>
  <c r="BM75"/>
  <c r="BF75"/>
  <c r="BE75"/>
  <c r="BD75"/>
  <c r="BB75"/>
  <c r="AY75"/>
  <c r="AX75"/>
  <c r="AW75"/>
  <c r="AV75"/>
  <c r="AU75"/>
  <c r="AT75"/>
  <c r="AM75"/>
  <c r="AL75"/>
  <c r="AK75"/>
  <c r="AJ75"/>
  <c r="AI75"/>
  <c r="AH75"/>
  <c r="AG75"/>
  <c r="Z75"/>
  <c r="Y75"/>
  <c r="X75"/>
  <c r="W75"/>
  <c r="P75"/>
  <c r="O75"/>
  <c r="N75"/>
  <c r="M75"/>
  <c r="L75"/>
  <c r="K75"/>
  <c r="CG74"/>
  <c r="CF74"/>
  <c r="CE74"/>
  <c r="CD74"/>
  <c r="CC74"/>
  <c r="CB74"/>
  <c r="BZ74"/>
  <c r="BY74"/>
  <c r="BX74"/>
  <c r="BW74"/>
  <c r="BP74"/>
  <c r="BO74"/>
  <c r="BN74"/>
  <c r="BM74"/>
  <c r="BF74"/>
  <c r="BE74"/>
  <c r="BD74"/>
  <c r="BB74"/>
  <c r="BA74"/>
  <c r="AY74"/>
  <c r="AX74"/>
  <c r="AW74"/>
  <c r="AV74"/>
  <c r="AU74"/>
  <c r="AT74"/>
  <c r="AM74"/>
  <c r="AL74"/>
  <c r="AK74"/>
  <c r="AJ74"/>
  <c r="AI74"/>
  <c r="AH74"/>
  <c r="AG74"/>
  <c r="Z74"/>
  <c r="Y74"/>
  <c r="X74"/>
  <c r="W74"/>
  <c r="P74"/>
  <c r="O74"/>
  <c r="N74"/>
  <c r="M74"/>
  <c r="L74"/>
  <c r="K74"/>
  <c r="CG73"/>
  <c r="CF73"/>
  <c r="CE73"/>
  <c r="CD73"/>
  <c r="CC73"/>
  <c r="CB73"/>
  <c r="CA73"/>
  <c r="BZ73"/>
  <c r="BY73"/>
  <c r="BX73"/>
  <c r="BW73"/>
  <c r="BQ73"/>
  <c r="BP73"/>
  <c r="BO73"/>
  <c r="BN73"/>
  <c r="BG73"/>
  <c r="BF73"/>
  <c r="BE73"/>
  <c r="BD73"/>
  <c r="BB73"/>
  <c r="BA73"/>
  <c r="AZ73"/>
  <c r="AX73"/>
  <c r="AW73"/>
  <c r="AV73"/>
  <c r="AT73"/>
  <c r="AN73"/>
  <c r="AL73"/>
  <c r="AK73"/>
  <c r="AJ73"/>
  <c r="AH73"/>
  <c r="AG73"/>
  <c r="AA73"/>
  <c r="Y73"/>
  <c r="X73"/>
  <c r="W73"/>
  <c r="Q73"/>
  <c r="P73"/>
  <c r="O73"/>
  <c r="N73"/>
  <c r="CG72"/>
  <c r="CF72"/>
  <c r="CE72"/>
  <c r="CD72"/>
  <c r="CC72"/>
  <c r="CB72"/>
  <c r="BZ72"/>
  <c r="BY72"/>
  <c r="BX72"/>
  <c r="BW72"/>
  <c r="BP72"/>
  <c r="BO72"/>
  <c r="BN72"/>
  <c r="BM72"/>
  <c r="BG72"/>
  <c r="BF72"/>
  <c r="BE72"/>
  <c r="BD72"/>
  <c r="BB72"/>
  <c r="BA72"/>
  <c r="AY72"/>
  <c r="AX72"/>
  <c r="AW72"/>
  <c r="AV72"/>
  <c r="AU72"/>
  <c r="AT72"/>
  <c r="AM72"/>
  <c r="AL72"/>
  <c r="AK72"/>
  <c r="AJ72"/>
  <c r="AI72"/>
  <c r="AH72"/>
  <c r="AG72"/>
  <c r="Z72"/>
  <c r="Y72"/>
  <c r="X72"/>
  <c r="W72"/>
  <c r="P72"/>
  <c r="O72"/>
  <c r="N72"/>
  <c r="M72"/>
  <c r="L72"/>
  <c r="K72"/>
  <c r="CG71"/>
  <c r="CF71"/>
  <c r="CE71"/>
  <c r="CD71"/>
  <c r="CC71"/>
  <c r="CB71"/>
  <c r="BZ71"/>
  <c r="BY71"/>
  <c r="BX71"/>
  <c r="BW71"/>
  <c r="BP71"/>
  <c r="BO71"/>
  <c r="BN71"/>
  <c r="BM71"/>
  <c r="BF71"/>
  <c r="BE71"/>
  <c r="BD71"/>
  <c r="BB71"/>
  <c r="BA71"/>
  <c r="AY71"/>
  <c r="AX71"/>
  <c r="AW71"/>
  <c r="AV71"/>
  <c r="AU71"/>
  <c r="AT71"/>
  <c r="AM71"/>
  <c r="AL71"/>
  <c r="AK71"/>
  <c r="AJ71"/>
  <c r="AI71"/>
  <c r="AH71"/>
  <c r="AG71"/>
  <c r="Z71"/>
  <c r="Y71"/>
  <c r="X71"/>
  <c r="W71"/>
  <c r="Q71"/>
  <c r="P71"/>
  <c r="O71"/>
  <c r="N71"/>
  <c r="M71"/>
  <c r="L71"/>
  <c r="K71"/>
  <c r="CG70"/>
  <c r="CF70"/>
  <c r="CE70"/>
  <c r="CD70"/>
  <c r="CC70"/>
  <c r="CB70"/>
  <c r="BZ70"/>
  <c r="BY70"/>
  <c r="BX70"/>
  <c r="BW70"/>
  <c r="BQ70"/>
  <c r="BP70"/>
  <c r="BO70"/>
  <c r="BN70"/>
  <c r="BM70"/>
  <c r="BF70"/>
  <c r="BE70"/>
  <c r="BD70"/>
  <c r="BB70"/>
  <c r="BA70"/>
  <c r="AZ70"/>
  <c r="AX70"/>
  <c r="AW70"/>
  <c r="AU70"/>
  <c r="AM70"/>
  <c r="AL70"/>
  <c r="AK70"/>
  <c r="AJ70"/>
  <c r="AI70"/>
  <c r="AH70"/>
  <c r="AG70"/>
  <c r="Z70"/>
  <c r="Y70"/>
  <c r="X70"/>
  <c r="W70"/>
  <c r="P70"/>
  <c r="O70"/>
  <c r="N70"/>
  <c r="M70"/>
  <c r="L70"/>
  <c r="K70"/>
  <c r="CG69"/>
  <c r="CF69"/>
  <c r="CE69"/>
  <c r="CD69"/>
  <c r="CC69"/>
  <c r="CB69"/>
  <c r="CA69"/>
  <c r="BZ69"/>
  <c r="BY69"/>
  <c r="BX69"/>
  <c r="BW69"/>
  <c r="BQ69"/>
  <c r="BP69"/>
  <c r="BO69"/>
  <c r="BN69"/>
  <c r="BM69"/>
  <c r="BF69"/>
  <c r="BE69"/>
  <c r="BD69"/>
  <c r="BB69"/>
  <c r="BA69"/>
  <c r="AZ69"/>
  <c r="AX69"/>
  <c r="AW69"/>
  <c r="AV69"/>
  <c r="AU69"/>
  <c r="AT69"/>
  <c r="AM69"/>
  <c r="AL69"/>
  <c r="AK69"/>
  <c r="AJ69"/>
  <c r="AI69"/>
  <c r="AH69"/>
  <c r="AG69"/>
  <c r="Z69"/>
  <c r="Y69"/>
  <c r="X69"/>
  <c r="W69"/>
  <c r="Q69"/>
  <c r="P69"/>
  <c r="O69"/>
  <c r="N69"/>
  <c r="CG68"/>
  <c r="CF68"/>
  <c r="CE68"/>
  <c r="CD68"/>
  <c r="CC68"/>
  <c r="CB68"/>
  <c r="BZ68"/>
  <c r="BY68"/>
  <c r="BX68"/>
  <c r="BW68"/>
  <c r="BQ68"/>
  <c r="BP68"/>
  <c r="BO68"/>
  <c r="BN68"/>
  <c r="BM68"/>
  <c r="BF68"/>
  <c r="BE68"/>
  <c r="BD68"/>
  <c r="BB68"/>
  <c r="BA68"/>
  <c r="AZ68"/>
  <c r="AX68"/>
  <c r="AW68"/>
  <c r="AV68"/>
  <c r="AU68"/>
  <c r="AT68"/>
  <c r="AM68"/>
  <c r="AL68"/>
  <c r="AK68"/>
  <c r="AJ68"/>
  <c r="AI68"/>
  <c r="AH68"/>
  <c r="AG68"/>
  <c r="AA68"/>
  <c r="Y68"/>
  <c r="X68"/>
  <c r="W68"/>
  <c r="P68"/>
  <c r="O68"/>
  <c r="N68"/>
  <c r="M68"/>
  <c r="L68"/>
  <c r="K68"/>
  <c r="CG67"/>
  <c r="CF67"/>
  <c r="CE67"/>
  <c r="CD67"/>
  <c r="CC67"/>
  <c r="CB67"/>
  <c r="CA67"/>
  <c r="BZ67"/>
  <c r="BY67"/>
  <c r="BX67"/>
  <c r="BW67"/>
  <c r="BP67"/>
  <c r="BO67"/>
  <c r="BN67"/>
  <c r="BM67"/>
  <c r="BF67"/>
  <c r="BE67"/>
  <c r="BD67"/>
  <c r="BB67"/>
  <c r="BA67"/>
  <c r="AX67"/>
  <c r="AW67"/>
  <c r="AV67"/>
  <c r="AU67"/>
  <c r="AT67"/>
  <c r="AM67"/>
  <c r="AL67"/>
  <c r="AK67"/>
  <c r="AJ67"/>
  <c r="AI67"/>
  <c r="AH67"/>
  <c r="AG67"/>
  <c r="AA67"/>
  <c r="Y67"/>
  <c r="X67"/>
  <c r="W67"/>
  <c r="P67"/>
  <c r="O67"/>
  <c r="N67"/>
  <c r="M67"/>
  <c r="L67"/>
  <c r="K67"/>
  <c r="CG66"/>
  <c r="CF66"/>
  <c r="CE66"/>
  <c r="CD66"/>
  <c r="CC66"/>
  <c r="CB66"/>
  <c r="CA66"/>
  <c r="BZ66"/>
  <c r="BY66"/>
  <c r="BX66"/>
  <c r="BW66"/>
  <c r="BQ66"/>
  <c r="BP66"/>
  <c r="BO66"/>
  <c r="BN66"/>
  <c r="BM66"/>
  <c r="BF66"/>
  <c r="BE66"/>
  <c r="BD66"/>
  <c r="BB66"/>
  <c r="BA66"/>
  <c r="AY66"/>
  <c r="AX66"/>
  <c r="AW66"/>
  <c r="AV66"/>
  <c r="AU66"/>
  <c r="AT66"/>
  <c r="AM66"/>
  <c r="AL66"/>
  <c r="AK66"/>
  <c r="AJ66"/>
  <c r="AI66"/>
  <c r="AH66"/>
  <c r="AG66"/>
  <c r="Z66"/>
  <c r="Y66"/>
  <c r="X66"/>
  <c r="W66"/>
  <c r="P66"/>
  <c r="O66"/>
  <c r="N66"/>
  <c r="M66"/>
  <c r="L66"/>
  <c r="K66"/>
  <c r="CG65"/>
  <c r="CF65"/>
  <c r="CE65"/>
  <c r="CD65"/>
  <c r="CC65"/>
  <c r="CB65"/>
  <c r="CA65"/>
  <c r="BZ65"/>
  <c r="BY65"/>
  <c r="BX65"/>
  <c r="BW65"/>
  <c r="BQ65"/>
  <c r="BP65"/>
  <c r="BO65"/>
  <c r="BN65"/>
  <c r="BM65"/>
  <c r="BG65"/>
  <c r="BF65"/>
  <c r="BE65"/>
  <c r="BD65"/>
  <c r="BB65"/>
  <c r="BA65"/>
  <c r="AZ65"/>
  <c r="AX65"/>
  <c r="AW65"/>
  <c r="AV65"/>
  <c r="AU65"/>
  <c r="AT65"/>
  <c r="AM65"/>
  <c r="AL65"/>
  <c r="AK65"/>
  <c r="AJ65"/>
  <c r="AI65"/>
  <c r="AH65"/>
  <c r="AG65"/>
  <c r="Z65"/>
  <c r="Y65"/>
  <c r="X65"/>
  <c r="W65"/>
  <c r="P65"/>
  <c r="O65"/>
  <c r="N65"/>
  <c r="M65"/>
  <c r="L65"/>
  <c r="K65"/>
  <c r="CG64"/>
  <c r="CF64"/>
  <c r="CE64"/>
  <c r="CD64"/>
  <c r="CC64"/>
  <c r="CB64"/>
  <c r="CA64"/>
  <c r="BZ64"/>
  <c r="BY64"/>
  <c r="BX64"/>
  <c r="BW64"/>
  <c r="BQ64"/>
  <c r="BP64"/>
  <c r="BO64"/>
  <c r="BN64"/>
  <c r="BM64"/>
  <c r="BG64"/>
  <c r="BF64"/>
  <c r="BE64"/>
  <c r="BD64"/>
  <c r="BB64"/>
  <c r="BA64"/>
  <c r="AZ64"/>
  <c r="AX64"/>
  <c r="AW64"/>
  <c r="AV64"/>
  <c r="AU64"/>
  <c r="AT64"/>
  <c r="AM64"/>
  <c r="AL64"/>
  <c r="AK64"/>
  <c r="AJ64"/>
  <c r="AI64"/>
  <c r="AH64"/>
  <c r="AG64"/>
  <c r="AA64"/>
  <c r="Y64"/>
  <c r="X64"/>
  <c r="W64"/>
  <c r="P64"/>
  <c r="O64"/>
  <c r="N64"/>
  <c r="M64"/>
  <c r="L64"/>
  <c r="K64"/>
  <c r="CG63"/>
  <c r="CF63"/>
  <c r="CE63"/>
  <c r="CD63"/>
  <c r="CC63"/>
  <c r="CB63"/>
  <c r="CA63"/>
  <c r="BZ63"/>
  <c r="BY63"/>
  <c r="BX63"/>
  <c r="BW63"/>
  <c r="BQ63"/>
  <c r="BP63"/>
  <c r="BO63"/>
  <c r="BN63"/>
  <c r="BM63"/>
  <c r="BF63"/>
  <c r="BE63"/>
  <c r="BD63"/>
  <c r="BB63"/>
  <c r="BA63"/>
  <c r="AY63"/>
  <c r="AX63"/>
  <c r="AW63"/>
  <c r="AV63"/>
  <c r="AU63"/>
  <c r="AT63"/>
  <c r="AM63"/>
  <c r="AL63"/>
  <c r="AK63"/>
  <c r="AJ63"/>
  <c r="AI63"/>
  <c r="AH63"/>
  <c r="AG63"/>
  <c r="AA63"/>
  <c r="Y63"/>
  <c r="X63"/>
  <c r="W63"/>
  <c r="Q63"/>
  <c r="P63"/>
  <c r="O63"/>
  <c r="N63"/>
  <c r="CG62"/>
  <c r="CF62"/>
  <c r="CE62"/>
  <c r="CD62"/>
  <c r="CC62"/>
  <c r="CB62"/>
  <c r="BZ62"/>
  <c r="BY62"/>
  <c r="BX62"/>
  <c r="BW62"/>
  <c r="BQ62"/>
  <c r="BP62"/>
  <c r="BO62"/>
  <c r="BN62"/>
  <c r="BM62"/>
  <c r="BF62"/>
  <c r="BE62"/>
  <c r="BD62"/>
  <c r="BB62"/>
  <c r="BA62"/>
  <c r="AY62"/>
  <c r="AX62"/>
  <c r="AW62"/>
  <c r="AV62"/>
  <c r="AU62"/>
  <c r="AT62"/>
  <c r="AM62"/>
  <c r="AL62"/>
  <c r="AK62"/>
  <c r="AJ62"/>
  <c r="AI62"/>
  <c r="AH62"/>
  <c r="AG62"/>
  <c r="AA62"/>
  <c r="Y62"/>
  <c r="X62"/>
  <c r="W62"/>
  <c r="P62"/>
  <c r="O62"/>
  <c r="N62"/>
  <c r="M62"/>
  <c r="L62"/>
  <c r="K62"/>
  <c r="CG61"/>
  <c r="CF61"/>
  <c r="CE61"/>
  <c r="CD61"/>
  <c r="CC61"/>
  <c r="CB61"/>
  <c r="BZ61"/>
  <c r="BY61"/>
  <c r="BX61"/>
  <c r="BW61"/>
  <c r="BQ61"/>
  <c r="BP61"/>
  <c r="BO61"/>
  <c r="BN61"/>
  <c r="BM61"/>
  <c r="BF61"/>
  <c r="BE61"/>
  <c r="BD61"/>
  <c r="BB61"/>
  <c r="BA61"/>
  <c r="AY61"/>
  <c r="AX61"/>
  <c r="AW61"/>
  <c r="AV61"/>
  <c r="AU61"/>
  <c r="AT61"/>
  <c r="AM61"/>
  <c r="AL61"/>
  <c r="AK61"/>
  <c r="AJ61"/>
  <c r="AI61"/>
  <c r="AH61"/>
  <c r="AG61"/>
  <c r="AA61"/>
  <c r="Y61"/>
  <c r="X61"/>
  <c r="W61"/>
  <c r="Q61"/>
  <c r="P61"/>
  <c r="O61"/>
  <c r="N61"/>
  <c r="CG60"/>
  <c r="CF60"/>
  <c r="CE60"/>
  <c r="CD60"/>
  <c r="CC60"/>
  <c r="CB60"/>
  <c r="BZ60"/>
  <c r="BY60"/>
  <c r="BX60"/>
  <c r="BW60"/>
  <c r="BP60"/>
  <c r="BO60"/>
  <c r="BN60"/>
  <c r="BM60"/>
  <c r="BF60"/>
  <c r="BE60"/>
  <c r="BD60"/>
  <c r="BB60"/>
  <c r="BA60"/>
  <c r="AX60"/>
  <c r="AW60"/>
  <c r="AV60"/>
  <c r="AU60"/>
  <c r="AT60"/>
  <c r="AM60"/>
  <c r="AL60"/>
  <c r="AK60"/>
  <c r="AJ60"/>
  <c r="AI60"/>
  <c r="AH60"/>
  <c r="AG60"/>
  <c r="AA60"/>
  <c r="Y60"/>
  <c r="X60"/>
  <c r="W60"/>
  <c r="Q60"/>
  <c r="P60"/>
  <c r="O60"/>
  <c r="N60"/>
  <c r="M60"/>
  <c r="L60"/>
  <c r="K60"/>
  <c r="CG59"/>
  <c r="CF59"/>
  <c r="CE59"/>
  <c r="CD59"/>
  <c r="CC59"/>
  <c r="CB59"/>
  <c r="BZ59"/>
  <c r="BY59"/>
  <c r="BX59"/>
  <c r="BW59"/>
  <c r="BQ59"/>
  <c r="BP59"/>
  <c r="BO59"/>
  <c r="BN59"/>
  <c r="BM59"/>
  <c r="BG59"/>
  <c r="BF59"/>
  <c r="BE59"/>
  <c r="BD59"/>
  <c r="BB59"/>
  <c r="BA59"/>
  <c r="AZ59"/>
  <c r="AX59"/>
  <c r="AW59"/>
  <c r="AV59"/>
  <c r="AU59"/>
  <c r="AT59"/>
  <c r="AM59"/>
  <c r="AL59"/>
  <c r="AK59"/>
  <c r="AJ59"/>
  <c r="AI59"/>
  <c r="AH59"/>
  <c r="AG59"/>
  <c r="AA59"/>
  <c r="Y59"/>
  <c r="X59"/>
  <c r="W59"/>
  <c r="Q59"/>
  <c r="P59"/>
  <c r="O59"/>
  <c r="N59"/>
  <c r="CG58"/>
  <c r="CF58"/>
  <c r="CE58"/>
  <c r="CD58"/>
  <c r="CC58"/>
  <c r="CB58"/>
  <c r="CA58"/>
  <c r="BZ58"/>
  <c r="BY58"/>
  <c r="BX58"/>
  <c r="BW58"/>
  <c r="BQ58"/>
  <c r="BP58"/>
  <c r="BO58"/>
  <c r="BN58"/>
  <c r="BM58"/>
  <c r="BG58"/>
  <c r="BF58"/>
  <c r="BE58"/>
  <c r="BD58"/>
  <c r="BB58"/>
  <c r="BA58"/>
  <c r="AY58"/>
  <c r="AX58"/>
  <c r="AW58"/>
  <c r="AV58"/>
  <c r="AU58"/>
  <c r="AT58"/>
  <c r="AM58"/>
  <c r="AL58"/>
  <c r="AK58"/>
  <c r="AJ58"/>
  <c r="AI58"/>
  <c r="AH58"/>
  <c r="AG58"/>
  <c r="Z58"/>
  <c r="Y58"/>
  <c r="X58"/>
  <c r="W58"/>
  <c r="Q58"/>
  <c r="P58"/>
  <c r="O58"/>
  <c r="N58"/>
  <c r="CG57"/>
  <c r="CF57"/>
  <c r="CE57"/>
  <c r="CD57"/>
  <c r="CC57"/>
  <c r="CB57"/>
  <c r="CA57"/>
  <c r="BZ57"/>
  <c r="BY57"/>
  <c r="BX57"/>
  <c r="BW57"/>
  <c r="BP57"/>
  <c r="BO57"/>
  <c r="BN57"/>
  <c r="BM57"/>
  <c r="BG57"/>
  <c r="BF57"/>
  <c r="BE57"/>
  <c r="BD57"/>
  <c r="BB57"/>
  <c r="BA57"/>
  <c r="AY57"/>
  <c r="AX57"/>
  <c r="AW57"/>
  <c r="AV57"/>
  <c r="AU57"/>
  <c r="AT57"/>
  <c r="AM57"/>
  <c r="AL57"/>
  <c r="AK57"/>
  <c r="AJ57"/>
  <c r="AI57"/>
  <c r="AH57"/>
  <c r="AG57"/>
  <c r="Z57"/>
  <c r="Y57"/>
  <c r="X57"/>
  <c r="W57"/>
  <c r="P57"/>
  <c r="O57"/>
  <c r="N57"/>
  <c r="M57"/>
  <c r="L57"/>
  <c r="K57"/>
  <c r="CG56"/>
  <c r="CF56"/>
  <c r="CE56"/>
  <c r="CD56"/>
  <c r="CC56"/>
  <c r="CB56"/>
  <c r="CA56"/>
  <c r="BZ56"/>
  <c r="BY56"/>
  <c r="BX56"/>
  <c r="BW56"/>
  <c r="BV56"/>
  <c r="BU56"/>
  <c r="BT56"/>
  <c r="BS56"/>
  <c r="BR56"/>
  <c r="BQ56"/>
  <c r="BP56"/>
  <c r="BO56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CG55"/>
  <c r="CF55"/>
  <c r="CE55"/>
  <c r="CD55"/>
  <c r="CC55"/>
  <c r="CB55"/>
  <c r="BZ55"/>
  <c r="BY55"/>
  <c r="BX55"/>
  <c r="BW55"/>
  <c r="BP55"/>
  <c r="BO55"/>
  <c r="BN55"/>
  <c r="BM55"/>
  <c r="BF55"/>
  <c r="BE55"/>
  <c r="BD55"/>
  <c r="BB55"/>
  <c r="AY55"/>
  <c r="AX55"/>
  <c r="AW55"/>
  <c r="AV55"/>
  <c r="AU55"/>
  <c r="AT55"/>
  <c r="AM55"/>
  <c r="AL55"/>
  <c r="AK55"/>
  <c r="AJ55"/>
  <c r="AI55"/>
  <c r="AH55"/>
  <c r="AG55"/>
  <c r="Z55"/>
  <c r="Y55"/>
  <c r="X55"/>
  <c r="W55"/>
  <c r="Q55"/>
  <c r="P55"/>
  <c r="O55"/>
  <c r="N55"/>
  <c r="CG54"/>
  <c r="CF54"/>
  <c r="CE54"/>
  <c r="CD54"/>
  <c r="CC54"/>
  <c r="CB54"/>
  <c r="BZ54"/>
  <c r="BY54"/>
  <c r="BX54"/>
  <c r="BW54"/>
  <c r="BP54"/>
  <c r="BO54"/>
  <c r="BN54"/>
  <c r="BM54"/>
  <c r="BF54"/>
  <c r="BE54"/>
  <c r="BD54"/>
  <c r="BB54"/>
  <c r="AY54"/>
  <c r="AX54"/>
  <c r="AW54"/>
  <c r="AV54"/>
  <c r="AU54"/>
  <c r="AT54"/>
  <c r="AM54"/>
  <c r="AL54"/>
  <c r="AK54"/>
  <c r="AJ54"/>
  <c r="AI54"/>
  <c r="AH54"/>
  <c r="AG54"/>
  <c r="Z54"/>
  <c r="Y54"/>
  <c r="X54"/>
  <c r="W54"/>
  <c r="Q54"/>
  <c r="P54"/>
  <c r="O54"/>
  <c r="N54"/>
  <c r="CG53"/>
  <c r="CF53"/>
  <c r="CE53"/>
  <c r="CD53"/>
  <c r="CC53"/>
  <c r="CB53"/>
  <c r="BZ53"/>
  <c r="BY53"/>
  <c r="BX53"/>
  <c r="BW53"/>
  <c r="BP53"/>
  <c r="BO53"/>
  <c r="BN53"/>
  <c r="BM53"/>
  <c r="BF53"/>
  <c r="BE53"/>
  <c r="BD53"/>
  <c r="BB53"/>
  <c r="AY53"/>
  <c r="AX53"/>
  <c r="AW53"/>
  <c r="AV53"/>
  <c r="AU53"/>
  <c r="AT53"/>
  <c r="AM53"/>
  <c r="AL53"/>
  <c r="AK53"/>
  <c r="AJ53"/>
  <c r="AI53"/>
  <c r="AH53"/>
  <c r="AG53"/>
  <c r="Z53"/>
  <c r="Y53"/>
  <c r="X53"/>
  <c r="W53"/>
  <c r="Q53"/>
  <c r="P53"/>
  <c r="O53"/>
  <c r="N53"/>
  <c r="CG52"/>
  <c r="CF52"/>
  <c r="CE52"/>
  <c r="CD52"/>
  <c r="CC52"/>
  <c r="CB52"/>
  <c r="CA52"/>
  <c r="BZ52"/>
  <c r="BY52"/>
  <c r="BX52"/>
  <c r="BW52"/>
  <c r="BQ52"/>
  <c r="BP52"/>
  <c r="BO52"/>
  <c r="BN52"/>
  <c r="BM52"/>
  <c r="BF52"/>
  <c r="BE52"/>
  <c r="BD52"/>
  <c r="BB52"/>
  <c r="BA52"/>
  <c r="AZ52"/>
  <c r="AX52"/>
  <c r="AW52"/>
  <c r="AV52"/>
  <c r="AU52"/>
  <c r="AT52"/>
  <c r="AM52"/>
  <c r="AL52"/>
  <c r="AK52"/>
  <c r="AJ52"/>
  <c r="AI52"/>
  <c r="AH52"/>
  <c r="AG52"/>
  <c r="AA52"/>
  <c r="Y52"/>
  <c r="X52"/>
  <c r="W52"/>
  <c r="Q52"/>
  <c r="P52"/>
  <c r="O52"/>
  <c r="N52"/>
  <c r="CG51"/>
  <c r="CF51"/>
  <c r="CE51"/>
  <c r="CD51"/>
  <c r="CC51"/>
  <c r="CB51"/>
  <c r="BZ51"/>
  <c r="BY51"/>
  <c r="BX51"/>
  <c r="BW51"/>
  <c r="BQ51"/>
  <c r="BP51"/>
  <c r="BO51"/>
  <c r="BN51"/>
  <c r="BM51"/>
  <c r="BG51"/>
  <c r="BF51"/>
  <c r="BE51"/>
  <c r="BD51"/>
  <c r="BB51"/>
  <c r="BA51"/>
  <c r="AY51"/>
  <c r="AX51"/>
  <c r="AW51"/>
  <c r="AV51"/>
  <c r="AU51"/>
  <c r="AT51"/>
  <c r="AM51"/>
  <c r="AL51"/>
  <c r="AK51"/>
  <c r="AJ51"/>
  <c r="AI51"/>
  <c r="AH51"/>
  <c r="AG51"/>
  <c r="Z51"/>
  <c r="Y51"/>
  <c r="X51"/>
  <c r="W51"/>
  <c r="P51"/>
  <c r="O51"/>
  <c r="N51"/>
  <c r="M51"/>
  <c r="L51"/>
  <c r="K51"/>
  <c r="CG50"/>
  <c r="CF50"/>
  <c r="CE50"/>
  <c r="CD50"/>
  <c r="CC50"/>
  <c r="CB50"/>
  <c r="BZ50"/>
  <c r="BY50"/>
  <c r="BX50"/>
  <c r="BW50"/>
  <c r="BQ50"/>
  <c r="BP50"/>
  <c r="BO50"/>
  <c r="BN50"/>
  <c r="BM50"/>
  <c r="BG50"/>
  <c r="BF50"/>
  <c r="BE50"/>
  <c r="BD50"/>
  <c r="BB50"/>
  <c r="BA50"/>
  <c r="AY50"/>
  <c r="AX50"/>
  <c r="AW50"/>
  <c r="AV50"/>
  <c r="AU50"/>
  <c r="AT50"/>
  <c r="AN50"/>
  <c r="AL50"/>
  <c r="AK50"/>
  <c r="AJ50"/>
  <c r="AI50"/>
  <c r="AH50"/>
  <c r="AG50"/>
  <c r="Z50"/>
  <c r="Y50"/>
  <c r="X50"/>
  <c r="W50"/>
  <c r="P50"/>
  <c r="O50"/>
  <c r="N50"/>
  <c r="M50"/>
  <c r="L50"/>
  <c r="K50"/>
  <c r="CG49"/>
  <c r="CF49"/>
  <c r="CE49"/>
  <c r="CD49"/>
  <c r="CC49"/>
  <c r="CB49"/>
  <c r="BZ49"/>
  <c r="BY49"/>
  <c r="BX49"/>
  <c r="BW49"/>
  <c r="BQ49"/>
  <c r="BP49"/>
  <c r="BO49"/>
  <c r="BN49"/>
  <c r="BM49"/>
  <c r="BF49"/>
  <c r="BE49"/>
  <c r="BD49"/>
  <c r="BB49"/>
  <c r="BA49"/>
  <c r="AY49"/>
  <c r="AX49"/>
  <c r="AW49"/>
  <c r="AV49"/>
  <c r="AU49"/>
  <c r="AT49"/>
  <c r="AM49"/>
  <c r="AL49"/>
  <c r="AK49"/>
  <c r="AJ49"/>
  <c r="AI49"/>
  <c r="AH49"/>
  <c r="AG49"/>
  <c r="Z49"/>
  <c r="Y49"/>
  <c r="X49"/>
  <c r="W49"/>
  <c r="Q49"/>
  <c r="P49"/>
  <c r="O49"/>
  <c r="N49"/>
  <c r="CG48"/>
  <c r="CF48"/>
  <c r="CE48"/>
  <c r="CD48"/>
  <c r="CC48"/>
  <c r="CB48"/>
  <c r="BZ48"/>
  <c r="BY48"/>
  <c r="BX48"/>
  <c r="BW48"/>
  <c r="BP48"/>
  <c r="BO48"/>
  <c r="BN48"/>
  <c r="BM48"/>
  <c r="BF48"/>
  <c r="BE48"/>
  <c r="BD48"/>
  <c r="BB48"/>
  <c r="BA48"/>
  <c r="AY48"/>
  <c r="AX48"/>
  <c r="AW48"/>
  <c r="AV48"/>
  <c r="AU48"/>
  <c r="AT48"/>
  <c r="AM48"/>
  <c r="AL48"/>
  <c r="AK48"/>
  <c r="AJ48"/>
  <c r="AI48"/>
  <c r="AH48"/>
  <c r="AG48"/>
  <c r="Z48"/>
  <c r="Y48"/>
  <c r="X48"/>
  <c r="W48"/>
  <c r="P48"/>
  <c r="O48"/>
  <c r="N48"/>
  <c r="M48"/>
  <c r="L48"/>
  <c r="K48"/>
  <c r="CG47"/>
  <c r="CF47"/>
  <c r="CE47"/>
  <c r="CD47"/>
  <c r="CC47"/>
  <c r="CB47"/>
  <c r="CA47"/>
  <c r="BZ47"/>
  <c r="BY47"/>
  <c r="BX47"/>
  <c r="BW47"/>
  <c r="BQ47"/>
  <c r="BP47"/>
  <c r="BO47"/>
  <c r="BN47"/>
  <c r="BM47"/>
  <c r="BF47"/>
  <c r="BE47"/>
  <c r="BD47"/>
  <c r="BB47"/>
  <c r="BA47"/>
  <c r="AY47"/>
  <c r="AX47"/>
  <c r="AW47"/>
  <c r="AV47"/>
  <c r="AU47"/>
  <c r="AT47"/>
  <c r="AM47"/>
  <c r="AL47"/>
  <c r="AK47"/>
  <c r="AJ47"/>
  <c r="AI47"/>
  <c r="AH47"/>
  <c r="AG47"/>
  <c r="Z47"/>
  <c r="Y47"/>
  <c r="X47"/>
  <c r="W47"/>
  <c r="P47"/>
  <c r="O47"/>
  <c r="N47"/>
  <c r="M47"/>
  <c r="L47"/>
  <c r="K47"/>
  <c r="CG46"/>
  <c r="CF46"/>
  <c r="CE46"/>
  <c r="CD46"/>
  <c r="CC46"/>
  <c r="CB46"/>
  <c r="BZ46"/>
  <c r="BY46"/>
  <c r="BX46"/>
  <c r="BW46"/>
  <c r="BP46"/>
  <c r="BO46"/>
  <c r="BN46"/>
  <c r="BM46"/>
  <c r="BG46"/>
  <c r="BF46"/>
  <c r="BE46"/>
  <c r="BD46"/>
  <c r="BB46"/>
  <c r="BA46"/>
  <c r="AZ46"/>
  <c r="AX46"/>
  <c r="AW46"/>
  <c r="AV46"/>
  <c r="AU46"/>
  <c r="AT46"/>
  <c r="AM46"/>
  <c r="AL46"/>
  <c r="AK46"/>
  <c r="AJ46"/>
  <c r="AI46"/>
  <c r="AH46"/>
  <c r="AG46"/>
  <c r="Z46"/>
  <c r="Y46"/>
  <c r="X46"/>
  <c r="W46"/>
  <c r="P46"/>
  <c r="O46"/>
  <c r="N46"/>
  <c r="M46"/>
  <c r="L46"/>
  <c r="K46"/>
  <c r="CG45"/>
  <c r="CF45"/>
  <c r="CE45"/>
  <c r="CD45"/>
  <c r="CC45"/>
  <c r="CB45"/>
  <c r="BZ45"/>
  <c r="BY45"/>
  <c r="BX45"/>
  <c r="BW45"/>
  <c r="BP45"/>
  <c r="BO45"/>
  <c r="BN45"/>
  <c r="BM45"/>
  <c r="BF45"/>
  <c r="BE45"/>
  <c r="BD45"/>
  <c r="BB45"/>
  <c r="BA45"/>
  <c r="AY45"/>
  <c r="AX45"/>
  <c r="AW45"/>
  <c r="AV45"/>
  <c r="AU45"/>
  <c r="AT45"/>
  <c r="AN45"/>
  <c r="AL45"/>
  <c r="AK45"/>
  <c r="AJ45"/>
  <c r="AI45"/>
  <c r="AH45"/>
  <c r="AG45"/>
  <c r="AA45"/>
  <c r="Y45"/>
  <c r="X45"/>
  <c r="W45"/>
  <c r="P45"/>
  <c r="O45"/>
  <c r="N45"/>
  <c r="M45"/>
  <c r="L45"/>
  <c r="K45"/>
  <c r="CG44"/>
  <c r="CF44"/>
  <c r="CE44"/>
  <c r="CD44"/>
  <c r="CC44"/>
  <c r="CB44"/>
  <c r="CA44"/>
  <c r="BZ44"/>
  <c r="BY44"/>
  <c r="BX44"/>
  <c r="BW44"/>
  <c r="BP44"/>
  <c r="BO44"/>
  <c r="BN44"/>
  <c r="BM44"/>
  <c r="BG44"/>
  <c r="BF44"/>
  <c r="BE44"/>
  <c r="BD44"/>
  <c r="BB44"/>
  <c r="BA44"/>
  <c r="AY44"/>
  <c r="AX44"/>
  <c r="AW44"/>
  <c r="AV44"/>
  <c r="AU44"/>
  <c r="AT44"/>
  <c r="AN44"/>
  <c r="AL44"/>
  <c r="AK44"/>
  <c r="AJ44"/>
  <c r="AI44"/>
  <c r="AH44"/>
  <c r="AG44"/>
  <c r="Z44"/>
  <c r="Y44"/>
  <c r="X44"/>
  <c r="W44"/>
  <c r="Q44"/>
  <c r="P44"/>
  <c r="O44"/>
  <c r="N44"/>
  <c r="CG43"/>
  <c r="CF43"/>
  <c r="CE43"/>
  <c r="CD43"/>
  <c r="CC43"/>
  <c r="CB43"/>
  <c r="BZ43"/>
  <c r="BY43"/>
  <c r="BX43"/>
  <c r="BW43"/>
  <c r="BP43"/>
  <c r="BO43"/>
  <c r="BN43"/>
  <c r="BM43"/>
  <c r="BG43"/>
  <c r="BF43"/>
  <c r="BE43"/>
  <c r="BD43"/>
  <c r="BB43"/>
  <c r="BA43"/>
  <c r="AY43"/>
  <c r="AX43"/>
  <c r="AW43"/>
  <c r="AV43"/>
  <c r="AT43"/>
  <c r="AM43"/>
  <c r="AL43"/>
  <c r="AK43"/>
  <c r="AJ43"/>
  <c r="AI43"/>
  <c r="AH43"/>
  <c r="AG43"/>
  <c r="AA43"/>
  <c r="Y43"/>
  <c r="X43"/>
  <c r="W43"/>
  <c r="Q43"/>
  <c r="P43"/>
  <c r="O43"/>
  <c r="N43"/>
  <c r="CG42"/>
  <c r="CF42"/>
  <c r="CE42"/>
  <c r="CD42"/>
  <c r="CC42"/>
  <c r="CB42"/>
  <c r="BZ42"/>
  <c r="BY42"/>
  <c r="BX42"/>
  <c r="BW42"/>
  <c r="BP42"/>
  <c r="BO42"/>
  <c r="BN42"/>
  <c r="BM42"/>
  <c r="BF42"/>
  <c r="BE42"/>
  <c r="BD42"/>
  <c r="BB42"/>
  <c r="BA42"/>
  <c r="AZ42"/>
  <c r="AX42"/>
  <c r="AW42"/>
  <c r="AV42"/>
  <c r="AU42"/>
  <c r="AT42"/>
  <c r="AM42"/>
  <c r="AL42"/>
  <c r="AK42"/>
  <c r="AJ42"/>
  <c r="AI42"/>
  <c r="AH42"/>
  <c r="AG42"/>
  <c r="Z42"/>
  <c r="Y42"/>
  <c r="X42"/>
  <c r="W42"/>
  <c r="P42"/>
  <c r="O42"/>
  <c r="N42"/>
  <c r="M42"/>
  <c r="L42"/>
  <c r="K42"/>
  <c r="CG41"/>
  <c r="CF41"/>
  <c r="CE41"/>
  <c r="CD41"/>
  <c r="CC41"/>
  <c r="CB41"/>
  <c r="BZ41"/>
  <c r="BY41"/>
  <c r="BX41"/>
  <c r="BW41"/>
  <c r="BP41"/>
  <c r="BO41"/>
  <c r="BN41"/>
  <c r="BM41"/>
  <c r="BF41"/>
  <c r="BE41"/>
  <c r="BD41"/>
  <c r="BB41"/>
  <c r="BA41"/>
  <c r="AZ41"/>
  <c r="AX41"/>
  <c r="AW41"/>
  <c r="AV41"/>
  <c r="AU41"/>
  <c r="AT41"/>
  <c r="AM41"/>
  <c r="AL41"/>
  <c r="AK41"/>
  <c r="AJ41"/>
  <c r="AI41"/>
  <c r="AH41"/>
  <c r="AG41"/>
  <c r="Z41"/>
  <c r="Y41"/>
  <c r="X41"/>
  <c r="W41"/>
  <c r="P41"/>
  <c r="O41"/>
  <c r="N41"/>
  <c r="M41"/>
  <c r="L41"/>
  <c r="K41"/>
  <c r="CG40"/>
  <c r="CF40"/>
  <c r="CE40"/>
  <c r="CD40"/>
  <c r="CC40"/>
  <c r="CB40"/>
  <c r="CA40"/>
  <c r="BZ40"/>
  <c r="BY40"/>
  <c r="BX40"/>
  <c r="BW40"/>
  <c r="BQ40"/>
  <c r="BP40"/>
  <c r="BO40"/>
  <c r="BN40"/>
  <c r="BM40"/>
  <c r="BF40"/>
  <c r="BE40"/>
  <c r="BD40"/>
  <c r="BB40"/>
  <c r="BA40"/>
  <c r="AZ40"/>
  <c r="AX40"/>
  <c r="AW40"/>
  <c r="AV40"/>
  <c r="AU40"/>
  <c r="AT40"/>
  <c r="AN40"/>
  <c r="AL40"/>
  <c r="AK40"/>
  <c r="AJ40"/>
  <c r="AI40"/>
  <c r="AH40"/>
  <c r="AG40"/>
  <c r="AA40"/>
  <c r="Y40"/>
  <c r="X40"/>
  <c r="W40"/>
  <c r="Q40"/>
  <c r="P40"/>
  <c r="O40"/>
  <c r="N40"/>
  <c r="M40"/>
  <c r="L40"/>
  <c r="K40"/>
  <c r="CG39"/>
  <c r="CF39"/>
  <c r="CE39"/>
  <c r="CD39"/>
  <c r="CC39"/>
  <c r="CB39"/>
  <c r="CA39"/>
  <c r="BZ39"/>
  <c r="BY39"/>
  <c r="BX39"/>
  <c r="BW39"/>
  <c r="BQ39"/>
  <c r="BP39"/>
  <c r="BO39"/>
  <c r="BN39"/>
  <c r="BM39"/>
  <c r="BF39"/>
  <c r="BE39"/>
  <c r="BD39"/>
  <c r="BB39"/>
  <c r="BA39"/>
  <c r="AY39"/>
  <c r="AX39"/>
  <c r="AW39"/>
  <c r="AV39"/>
  <c r="AU39"/>
  <c r="AT39"/>
  <c r="AM39"/>
  <c r="AL39"/>
  <c r="AK39"/>
  <c r="AJ39"/>
  <c r="AI39"/>
  <c r="AH39"/>
  <c r="AG39"/>
  <c r="Z39"/>
  <c r="Y39"/>
  <c r="X39"/>
  <c r="W39"/>
  <c r="Q39"/>
  <c r="P39"/>
  <c r="O39"/>
  <c r="N39"/>
  <c r="CG38"/>
  <c r="CF38"/>
  <c r="CE38"/>
  <c r="CD38"/>
  <c r="CC38"/>
  <c r="CB38"/>
  <c r="CA38"/>
  <c r="BZ38"/>
  <c r="BY38"/>
  <c r="BX38"/>
  <c r="BW38"/>
  <c r="BQ38"/>
  <c r="BP38"/>
  <c r="BO38"/>
  <c r="BN38"/>
  <c r="BM38"/>
  <c r="BG38"/>
  <c r="BF38"/>
  <c r="BE38"/>
  <c r="BD38"/>
  <c r="BB38"/>
  <c r="BA38"/>
  <c r="AY38"/>
  <c r="AX38"/>
  <c r="AW38"/>
  <c r="AV38"/>
  <c r="AU38"/>
  <c r="AT38"/>
  <c r="AN38"/>
  <c r="AL38"/>
  <c r="AK38"/>
  <c r="AJ38"/>
  <c r="AI38"/>
  <c r="AH38"/>
  <c r="AG38"/>
  <c r="AA38"/>
  <c r="Y38"/>
  <c r="X38"/>
  <c r="W38"/>
  <c r="Q38"/>
  <c r="P38"/>
  <c r="O38"/>
  <c r="N38"/>
  <c r="CG37"/>
  <c r="CF37"/>
  <c r="CE37"/>
  <c r="CD37"/>
  <c r="CC37"/>
  <c r="CB37"/>
  <c r="BZ37"/>
  <c r="BY37"/>
  <c r="BX37"/>
  <c r="BW37"/>
  <c r="BQ37"/>
  <c r="BP37"/>
  <c r="BO37"/>
  <c r="BN37"/>
  <c r="BM37"/>
  <c r="BF37"/>
  <c r="BE37"/>
  <c r="BD37"/>
  <c r="BB37"/>
  <c r="BA37"/>
  <c r="AZ37"/>
  <c r="AX37"/>
  <c r="AW37"/>
  <c r="AV37"/>
  <c r="AT37"/>
  <c r="AM37"/>
  <c r="AL37"/>
  <c r="AK37"/>
  <c r="AJ37"/>
  <c r="AI37"/>
  <c r="AH37"/>
  <c r="AG37"/>
  <c r="Z37"/>
  <c r="Y37"/>
  <c r="X37"/>
  <c r="W37"/>
  <c r="P37"/>
  <c r="O37"/>
  <c r="N37"/>
  <c r="M37"/>
  <c r="L37"/>
  <c r="K37"/>
  <c r="CG36"/>
  <c r="CF36"/>
  <c r="CE36"/>
  <c r="CD36"/>
  <c r="CC36"/>
  <c r="CB36"/>
  <c r="CA36"/>
  <c r="BZ36"/>
  <c r="BY36"/>
  <c r="BX36"/>
  <c r="BW36"/>
  <c r="BV36"/>
  <c r="BU36"/>
  <c r="BT36"/>
  <c r="BS36"/>
  <c r="BR36"/>
  <c r="BQ36"/>
  <c r="BP36"/>
  <c r="BO36"/>
  <c r="BN36"/>
  <c r="BM36"/>
  <c r="BL36"/>
  <c r="BK36"/>
  <c r="BJ36"/>
  <c r="BI36"/>
  <c r="BH36"/>
  <c r="BG36"/>
  <c r="BF36"/>
  <c r="BE36"/>
  <c r="BD36"/>
  <c r="BC36"/>
  <c r="BB36"/>
  <c r="BA36"/>
  <c r="AZ36"/>
  <c r="AY36"/>
  <c r="AX36"/>
  <c r="AW36"/>
  <c r="AV36"/>
  <c r="AU36"/>
  <c r="AT36"/>
  <c r="AS36"/>
  <c r="AR36"/>
  <c r="AQ36"/>
  <c r="AP36"/>
  <c r="AO36"/>
  <c r="AN36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CG35"/>
  <c r="CF35"/>
  <c r="CE35"/>
  <c r="CD35"/>
  <c r="CC35"/>
  <c r="CB35"/>
  <c r="BZ35"/>
  <c r="BY35"/>
  <c r="BX35"/>
  <c r="BW35"/>
  <c r="BP35"/>
  <c r="BO35"/>
  <c r="BN35"/>
  <c r="BM35"/>
  <c r="BF35"/>
  <c r="BE35"/>
  <c r="BD35"/>
  <c r="BB35"/>
  <c r="AY35"/>
  <c r="AX35"/>
  <c r="AW35"/>
  <c r="AV35"/>
  <c r="AU35"/>
  <c r="AT35"/>
  <c r="AM35"/>
  <c r="AL35"/>
  <c r="AK35"/>
  <c r="AJ35"/>
  <c r="AI35"/>
  <c r="AH35"/>
  <c r="AG35"/>
  <c r="Z35"/>
  <c r="Y35"/>
  <c r="X35"/>
  <c r="W35"/>
  <c r="Q35"/>
  <c r="P35"/>
  <c r="O35"/>
  <c r="N35"/>
  <c r="CG34"/>
  <c r="CF34"/>
  <c r="CE34"/>
  <c r="CD34"/>
  <c r="CC34"/>
  <c r="CB34"/>
  <c r="CA34"/>
  <c r="BZ34"/>
  <c r="BY34"/>
  <c r="BX34"/>
  <c r="BW34"/>
  <c r="BQ34"/>
  <c r="BP34"/>
  <c r="BO34"/>
  <c r="BN34"/>
  <c r="BF34"/>
  <c r="BE34"/>
  <c r="BD34"/>
  <c r="BB34"/>
  <c r="AY34"/>
  <c r="AX34"/>
  <c r="AW34"/>
  <c r="AV34"/>
  <c r="AU34"/>
  <c r="AT34"/>
  <c r="AN34"/>
  <c r="AL34"/>
  <c r="AK34"/>
  <c r="AJ34"/>
  <c r="AI34"/>
  <c r="AG34"/>
  <c r="AA34"/>
  <c r="Y34"/>
  <c r="X34"/>
  <c r="W34"/>
  <c r="Q34"/>
  <c r="P34"/>
  <c r="O34"/>
  <c r="N34"/>
  <c r="CG33"/>
  <c r="CF33"/>
  <c r="CE33"/>
  <c r="CD33"/>
  <c r="CC33"/>
  <c r="CB33"/>
  <c r="BZ33"/>
  <c r="BY33"/>
  <c r="BX33"/>
  <c r="BW33"/>
  <c r="BP33"/>
  <c r="BO33"/>
  <c r="BN33"/>
  <c r="BM33"/>
  <c r="BF33"/>
  <c r="BE33"/>
  <c r="BD33"/>
  <c r="BB33"/>
  <c r="AY33"/>
  <c r="AX33"/>
  <c r="AW33"/>
  <c r="AV33"/>
  <c r="AU33"/>
  <c r="AT33"/>
  <c r="AM33"/>
  <c r="AL33"/>
  <c r="AK33"/>
  <c r="AJ33"/>
  <c r="AI33"/>
  <c r="AH33"/>
  <c r="AG33"/>
  <c r="AA33"/>
  <c r="Y33"/>
  <c r="X33"/>
  <c r="W33"/>
  <c r="P33"/>
  <c r="O33"/>
  <c r="N33"/>
  <c r="M33"/>
  <c r="L33"/>
  <c r="K33"/>
  <c r="CG32"/>
  <c r="CF32"/>
  <c r="CE32"/>
  <c r="CD32"/>
  <c r="CC32"/>
  <c r="CB32"/>
  <c r="CA32"/>
  <c r="BZ32"/>
  <c r="BY32"/>
  <c r="BX32"/>
  <c r="BW32"/>
  <c r="BQ32"/>
  <c r="BP32"/>
  <c r="BO32"/>
  <c r="BN32"/>
  <c r="BM32"/>
  <c r="BG32"/>
  <c r="BF32"/>
  <c r="BE32"/>
  <c r="BD32"/>
  <c r="BB32"/>
  <c r="BA32"/>
  <c r="AY32"/>
  <c r="AX32"/>
  <c r="AW32"/>
  <c r="AV32"/>
  <c r="AU32"/>
  <c r="AT32"/>
  <c r="AN32"/>
  <c r="AL32"/>
  <c r="AK32"/>
  <c r="AJ32"/>
  <c r="AI32"/>
  <c r="AH32"/>
  <c r="AG32"/>
  <c r="Z32"/>
  <c r="Y32"/>
  <c r="X32"/>
  <c r="W32"/>
  <c r="Q32"/>
  <c r="P32"/>
  <c r="O32"/>
  <c r="N32"/>
  <c r="CG31"/>
  <c r="CF31"/>
  <c r="CE31"/>
  <c r="CD31"/>
  <c r="CC31"/>
  <c r="CB31"/>
  <c r="BZ31"/>
  <c r="BY31"/>
  <c r="BX31"/>
  <c r="BW31"/>
  <c r="BP31"/>
  <c r="BO31"/>
  <c r="BN31"/>
  <c r="BM31"/>
  <c r="BG31"/>
  <c r="BF31"/>
  <c r="BE31"/>
  <c r="BD31"/>
  <c r="BB31"/>
  <c r="BA31"/>
  <c r="AY31"/>
  <c r="AX31"/>
  <c r="AW31"/>
  <c r="AV31"/>
  <c r="AU31"/>
  <c r="AT31"/>
  <c r="AM31"/>
  <c r="AL31"/>
  <c r="AK31"/>
  <c r="AJ31"/>
  <c r="AI31"/>
  <c r="AH31"/>
  <c r="AG31"/>
  <c r="Z31"/>
  <c r="Y31"/>
  <c r="X31"/>
  <c r="W31"/>
  <c r="Q31"/>
  <c r="P31"/>
  <c r="O31"/>
  <c r="N31"/>
  <c r="M31"/>
  <c r="L31"/>
  <c r="K31"/>
  <c r="CG30"/>
  <c r="CF30"/>
  <c r="CE30"/>
  <c r="CD30"/>
  <c r="CC30"/>
  <c r="CB30"/>
  <c r="CA30"/>
  <c r="BZ30"/>
  <c r="BY30"/>
  <c r="BX30"/>
  <c r="BW30"/>
  <c r="BQ30"/>
  <c r="BP30"/>
  <c r="BO30"/>
  <c r="BN30"/>
  <c r="BM30"/>
  <c r="BF30"/>
  <c r="BE30"/>
  <c r="BD30"/>
  <c r="BB30"/>
  <c r="BA30"/>
  <c r="AY30"/>
  <c r="AX30"/>
  <c r="AW30"/>
  <c r="AV30"/>
  <c r="AU30"/>
  <c r="AT30"/>
  <c r="AN30"/>
  <c r="AL30"/>
  <c r="AK30"/>
  <c r="AJ30"/>
  <c r="AI30"/>
  <c r="AH30"/>
  <c r="AG30"/>
  <c r="Z30"/>
  <c r="Y30"/>
  <c r="X30"/>
  <c r="W30"/>
  <c r="P30"/>
  <c r="O30"/>
  <c r="N30"/>
  <c r="M30"/>
  <c r="L30"/>
  <c r="K30"/>
  <c r="CG29"/>
  <c r="CF29"/>
  <c r="CE29"/>
  <c r="CD29"/>
  <c r="CC29"/>
  <c r="CB29"/>
  <c r="BZ29"/>
  <c r="BY29"/>
  <c r="BX29"/>
  <c r="BW29"/>
  <c r="BQ29"/>
  <c r="BP29"/>
  <c r="BO29"/>
  <c r="BN29"/>
  <c r="BM29"/>
  <c r="BF29"/>
  <c r="BE29"/>
  <c r="BD29"/>
  <c r="BB29"/>
  <c r="BA29"/>
  <c r="AY29"/>
  <c r="AX29"/>
  <c r="AW29"/>
  <c r="AV29"/>
  <c r="AU29"/>
  <c r="AT29"/>
  <c r="AN29"/>
  <c r="AL29"/>
  <c r="AK29"/>
  <c r="AJ29"/>
  <c r="AI29"/>
  <c r="AH29"/>
  <c r="AG29"/>
  <c r="Z29"/>
  <c r="Y29"/>
  <c r="X29"/>
  <c r="W29"/>
  <c r="Q29"/>
  <c r="P29"/>
  <c r="O29"/>
  <c r="N29"/>
  <c r="CG28"/>
  <c r="CF28"/>
  <c r="CE28"/>
  <c r="CD28"/>
  <c r="CC28"/>
  <c r="CB28"/>
  <c r="BZ28"/>
  <c r="BY28"/>
  <c r="BX28"/>
  <c r="BW28"/>
  <c r="BQ28"/>
  <c r="BP28"/>
  <c r="BO28"/>
  <c r="BN28"/>
  <c r="BM28"/>
  <c r="BG28"/>
  <c r="BF28"/>
  <c r="BE28"/>
  <c r="BD28"/>
  <c r="BB28"/>
  <c r="BA28"/>
  <c r="AY28"/>
  <c r="AX28"/>
  <c r="AW28"/>
  <c r="AV28"/>
  <c r="AU28"/>
  <c r="AT28"/>
  <c r="AN28"/>
  <c r="AL28"/>
  <c r="AK28"/>
  <c r="AJ28"/>
  <c r="AI28"/>
  <c r="AH28"/>
  <c r="AG28"/>
  <c r="Z28"/>
  <c r="Y28"/>
  <c r="X28"/>
  <c r="W28"/>
  <c r="Q28"/>
  <c r="P28"/>
  <c r="O28"/>
  <c r="N28"/>
  <c r="CG27"/>
  <c r="CF27"/>
  <c r="CE27"/>
  <c r="CD27"/>
  <c r="CC27"/>
  <c r="CB27"/>
  <c r="CA27"/>
  <c r="BZ27"/>
  <c r="BY27"/>
  <c r="BX27"/>
  <c r="BW27"/>
  <c r="BP27"/>
  <c r="BO27"/>
  <c r="BN27"/>
  <c r="BM27"/>
  <c r="BG27"/>
  <c r="BF27"/>
  <c r="BE27"/>
  <c r="BD27"/>
  <c r="BB27"/>
  <c r="BA27"/>
  <c r="AZ27"/>
  <c r="AX27"/>
  <c r="AW27"/>
  <c r="AV27"/>
  <c r="AT27"/>
  <c r="AN27"/>
  <c r="AL27"/>
  <c r="AK27"/>
  <c r="AJ27"/>
  <c r="AI27"/>
  <c r="AH27"/>
  <c r="AG27"/>
  <c r="Z27"/>
  <c r="Y27"/>
  <c r="X27"/>
  <c r="W27"/>
  <c r="Q27"/>
  <c r="P27"/>
  <c r="O27"/>
  <c r="N27"/>
  <c r="CG26"/>
  <c r="CF26"/>
  <c r="CE26"/>
  <c r="CD26"/>
  <c r="CC26"/>
  <c r="CB26"/>
  <c r="CA26"/>
  <c r="BZ26"/>
  <c r="BY26"/>
  <c r="BX26"/>
  <c r="BW26"/>
  <c r="BP26"/>
  <c r="BO26"/>
  <c r="BN26"/>
  <c r="BM26"/>
  <c r="BG26"/>
  <c r="BF26"/>
  <c r="BE26"/>
  <c r="BD26"/>
  <c r="BB26"/>
  <c r="BA26"/>
  <c r="AY26"/>
  <c r="AX26"/>
  <c r="AW26"/>
  <c r="AV26"/>
  <c r="AU26"/>
  <c r="AT26"/>
  <c r="AN26"/>
  <c r="AL26"/>
  <c r="AK26"/>
  <c r="AJ26"/>
  <c r="AI26"/>
  <c r="AH26"/>
  <c r="AG26"/>
  <c r="Z26"/>
  <c r="Y26"/>
  <c r="X26"/>
  <c r="W26"/>
  <c r="Q26"/>
  <c r="P26"/>
  <c r="O26"/>
  <c r="N26"/>
  <c r="CG25"/>
  <c r="CF25"/>
  <c r="CE25"/>
  <c r="CD25"/>
  <c r="CC25"/>
  <c r="CB25"/>
  <c r="CA25"/>
  <c r="BZ25"/>
  <c r="BY25"/>
  <c r="BX25"/>
  <c r="BW25"/>
  <c r="BP25"/>
  <c r="BO25"/>
  <c r="BN25"/>
  <c r="BM25"/>
  <c r="BG25"/>
  <c r="BF25"/>
  <c r="BE25"/>
  <c r="BD25"/>
  <c r="BB25"/>
  <c r="BA25"/>
  <c r="AZ25"/>
  <c r="AX25"/>
  <c r="AW25"/>
  <c r="AV25"/>
  <c r="AU25"/>
  <c r="AT25"/>
  <c r="AM25"/>
  <c r="AL25"/>
  <c r="AK25"/>
  <c r="AJ25"/>
  <c r="AI25"/>
  <c r="AH25"/>
  <c r="AG25"/>
  <c r="AA25"/>
  <c r="Y25"/>
  <c r="X25"/>
  <c r="W25"/>
  <c r="P25"/>
  <c r="O25"/>
  <c r="N25"/>
  <c r="M25"/>
  <c r="L25"/>
  <c r="K25"/>
  <c r="CG24"/>
  <c r="CF24"/>
  <c r="CE24"/>
  <c r="CD24"/>
  <c r="CC24"/>
  <c r="CB24"/>
  <c r="CA24"/>
  <c r="BZ24"/>
  <c r="BY24"/>
  <c r="BX24"/>
  <c r="BW24"/>
  <c r="BQ24"/>
  <c r="BP24"/>
  <c r="BO24"/>
  <c r="BN24"/>
  <c r="BM24"/>
  <c r="BF24"/>
  <c r="BE24"/>
  <c r="BD24"/>
  <c r="BB24"/>
  <c r="BA24"/>
  <c r="AY24"/>
  <c r="AX24"/>
  <c r="AW24"/>
  <c r="AV24"/>
  <c r="AU24"/>
  <c r="AT24"/>
  <c r="AM24"/>
  <c r="AL24"/>
  <c r="AK24"/>
  <c r="AJ24"/>
  <c r="AI24"/>
  <c r="AH24"/>
  <c r="AG24"/>
  <c r="Z24"/>
  <c r="Y24"/>
  <c r="X24"/>
  <c r="W24"/>
  <c r="Q24"/>
  <c r="P24"/>
  <c r="O24"/>
  <c r="N24"/>
  <c r="CG23"/>
  <c r="CF23"/>
  <c r="CE23"/>
  <c r="CD23"/>
  <c r="CC23"/>
  <c r="CB23"/>
  <c r="BZ23"/>
  <c r="BY23"/>
  <c r="BX23"/>
  <c r="BW23"/>
  <c r="BP23"/>
  <c r="BO23"/>
  <c r="BN23"/>
  <c r="BM23"/>
  <c r="BF23"/>
  <c r="BE23"/>
  <c r="BD23"/>
  <c r="BB23"/>
  <c r="BA23"/>
  <c r="AZ23"/>
  <c r="AX23"/>
  <c r="AW23"/>
  <c r="AV23"/>
  <c r="AT23"/>
  <c r="AM23"/>
  <c r="AL23"/>
  <c r="AK23"/>
  <c r="AJ23"/>
  <c r="AI23"/>
  <c r="AH23"/>
  <c r="AG23"/>
  <c r="Z23"/>
  <c r="Y23"/>
  <c r="X23"/>
  <c r="W23"/>
  <c r="Q23"/>
  <c r="P23"/>
  <c r="O23"/>
  <c r="N23"/>
  <c r="CG22"/>
  <c r="CF22"/>
  <c r="CE22"/>
  <c r="CD22"/>
  <c r="CC22"/>
  <c r="CB22"/>
  <c r="CA22"/>
  <c r="BZ22"/>
  <c r="BY22"/>
  <c r="BX22"/>
  <c r="BW22"/>
  <c r="BP22"/>
  <c r="BO22"/>
  <c r="BN22"/>
  <c r="BM22"/>
  <c r="BG22"/>
  <c r="BF22"/>
  <c r="BE22"/>
  <c r="BD22"/>
  <c r="BB22"/>
  <c r="BA22"/>
  <c r="AZ22"/>
  <c r="AX22"/>
  <c r="AW22"/>
  <c r="AV22"/>
  <c r="AU22"/>
  <c r="AT22"/>
  <c r="AN22"/>
  <c r="AL22"/>
  <c r="AK22"/>
  <c r="AJ22"/>
  <c r="AI22"/>
  <c r="AH22"/>
  <c r="AG22"/>
  <c r="AA22"/>
  <c r="Y22"/>
  <c r="X22"/>
  <c r="W22"/>
  <c r="Q22"/>
  <c r="P22"/>
  <c r="O22"/>
  <c r="N22"/>
  <c r="M22"/>
  <c r="L22"/>
  <c r="K22"/>
  <c r="CG21"/>
  <c r="CF21"/>
  <c r="CE21"/>
  <c r="CD21"/>
  <c r="CC21"/>
  <c r="CB21"/>
  <c r="BZ21"/>
  <c r="BY21"/>
  <c r="BX21"/>
  <c r="BW21"/>
  <c r="BP21"/>
  <c r="BO21"/>
  <c r="BN21"/>
  <c r="BM21"/>
  <c r="BF21"/>
  <c r="BE21"/>
  <c r="BD21"/>
  <c r="BB21"/>
  <c r="BA21"/>
  <c r="AZ21"/>
  <c r="AX21"/>
  <c r="AW21"/>
  <c r="AV21"/>
  <c r="AU21"/>
  <c r="AT21"/>
  <c r="AM21"/>
  <c r="AL21"/>
  <c r="AK21"/>
  <c r="AJ21"/>
  <c r="AI21"/>
  <c r="AH21"/>
  <c r="AG21"/>
  <c r="AA21"/>
  <c r="Y21"/>
  <c r="X21"/>
  <c r="W21"/>
  <c r="Q21"/>
  <c r="P21"/>
  <c r="O21"/>
  <c r="N21"/>
  <c r="M21"/>
  <c r="L21"/>
  <c r="K21"/>
  <c r="CG20"/>
  <c r="CF20"/>
  <c r="CE20"/>
  <c r="CD20"/>
  <c r="CC20"/>
  <c r="CB20"/>
  <c r="CA20"/>
  <c r="BZ20"/>
  <c r="BY20"/>
  <c r="BX20"/>
  <c r="BW20"/>
  <c r="BV20"/>
  <c r="BU20"/>
  <c r="BT20"/>
  <c r="BS20"/>
  <c r="BR20"/>
  <c r="BQ20"/>
  <c r="BP20"/>
  <c r="BO20"/>
  <c r="BN20"/>
  <c r="BM20"/>
  <c r="BL20"/>
  <c r="BK20"/>
  <c r="BJ20"/>
  <c r="BI20"/>
  <c r="BH20"/>
  <c r="BG20"/>
  <c r="BF20"/>
  <c r="BE20"/>
  <c r="BD20"/>
  <c r="BC20"/>
  <c r="BB20"/>
  <c r="BA20"/>
  <c r="AZ20"/>
  <c r="AY20"/>
  <c r="AX20"/>
  <c r="AW20"/>
  <c r="AV20"/>
  <c r="AU20"/>
  <c r="AT20"/>
  <c r="AS20"/>
  <c r="AR20"/>
  <c r="AQ20"/>
  <c r="AP20"/>
  <c r="AO20"/>
  <c r="AN20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CG19"/>
  <c r="CF19"/>
  <c r="CE19"/>
  <c r="CD19"/>
  <c r="CC19"/>
  <c r="CB19"/>
  <c r="BZ19"/>
  <c r="BY19"/>
  <c r="BX19"/>
  <c r="BW19"/>
  <c r="BP19"/>
  <c r="BO19"/>
  <c r="BN19"/>
  <c r="BM19"/>
  <c r="BF19"/>
  <c r="BE19"/>
  <c r="BD19"/>
  <c r="BB19"/>
  <c r="AY19"/>
  <c r="AX19"/>
  <c r="AW19"/>
  <c r="AV19"/>
  <c r="AT19"/>
  <c r="AM19"/>
  <c r="AL19"/>
  <c r="AK19"/>
  <c r="AJ19"/>
  <c r="AI19"/>
  <c r="AH19"/>
  <c r="AG19"/>
  <c r="Z19"/>
  <c r="Y19"/>
  <c r="X19"/>
  <c r="W19"/>
  <c r="Q19"/>
  <c r="P19"/>
  <c r="O19"/>
  <c r="N19"/>
  <c r="CG18"/>
  <c r="CF18"/>
  <c r="CE18"/>
  <c r="CD18"/>
  <c r="CC18"/>
  <c r="CB18"/>
  <c r="BZ18"/>
  <c r="BY18"/>
  <c r="BX18"/>
  <c r="BW18"/>
  <c r="BP18"/>
  <c r="BO18"/>
  <c r="BN18"/>
  <c r="BM18"/>
  <c r="BF18"/>
  <c r="BE18"/>
  <c r="BD18"/>
  <c r="BB18"/>
  <c r="AY18"/>
  <c r="AX18"/>
  <c r="AW18"/>
  <c r="AV18"/>
  <c r="AU18"/>
  <c r="AT18"/>
  <c r="AM18"/>
  <c r="AL18"/>
  <c r="AK18"/>
  <c r="AJ18"/>
  <c r="AI18"/>
  <c r="AH18"/>
  <c r="AG18"/>
  <c r="Z18"/>
  <c r="Y18"/>
  <c r="X18"/>
  <c r="W18"/>
  <c r="Q18"/>
  <c r="P18"/>
  <c r="O18"/>
  <c r="N18"/>
  <c r="CG17"/>
  <c r="CF17"/>
  <c r="CE17"/>
  <c r="CD17"/>
  <c r="CC17"/>
  <c r="CB17"/>
  <c r="BZ17"/>
  <c r="BY17"/>
  <c r="BX17"/>
  <c r="BW17"/>
  <c r="BP17"/>
  <c r="BO17"/>
  <c r="BN17"/>
  <c r="BM17"/>
  <c r="BF17"/>
  <c r="BE17"/>
  <c r="BD17"/>
  <c r="BB17"/>
  <c r="BA17"/>
  <c r="AY17"/>
  <c r="AX17"/>
  <c r="AW17"/>
  <c r="AV17"/>
  <c r="AU17"/>
  <c r="AT17"/>
  <c r="AM17"/>
  <c r="AL17"/>
  <c r="AK17"/>
  <c r="AJ17"/>
  <c r="AI17"/>
  <c r="AH17"/>
  <c r="AG17"/>
  <c r="AA17"/>
  <c r="Y17"/>
  <c r="X17"/>
  <c r="W17"/>
  <c r="Q17"/>
  <c r="P17"/>
  <c r="O17"/>
  <c r="N17"/>
  <c r="CG16"/>
  <c r="CF16"/>
  <c r="CE16"/>
  <c r="CD16"/>
  <c r="CC16"/>
  <c r="CB16"/>
  <c r="CA16"/>
  <c r="BZ16"/>
  <c r="BY16"/>
  <c r="BX16"/>
  <c r="BW16"/>
  <c r="BQ16"/>
  <c r="BP16"/>
  <c r="BO16"/>
  <c r="BN16"/>
  <c r="BM16"/>
  <c r="BF16"/>
  <c r="BE16"/>
  <c r="BD16"/>
  <c r="BB16"/>
  <c r="BA16"/>
  <c r="AY16"/>
  <c r="AX16"/>
  <c r="AW16"/>
  <c r="AV16"/>
  <c r="AU16"/>
  <c r="AT16"/>
  <c r="AN16"/>
  <c r="AL16"/>
  <c r="AK16"/>
  <c r="AJ16"/>
  <c r="AI16"/>
  <c r="AH16"/>
  <c r="AG16"/>
  <c r="AA16"/>
  <c r="Y16"/>
  <c r="X16"/>
  <c r="W16"/>
  <c r="Q16"/>
  <c r="P16"/>
  <c r="O16"/>
  <c r="N16"/>
  <c r="CG15"/>
  <c r="CF15"/>
  <c r="CE15"/>
  <c r="CD15"/>
  <c r="CC15"/>
  <c r="CB15"/>
  <c r="CA15"/>
  <c r="BZ15"/>
  <c r="BY15"/>
  <c r="BX15"/>
  <c r="BW15"/>
  <c r="BP15"/>
  <c r="BO15"/>
  <c r="BN15"/>
  <c r="BM15"/>
  <c r="BF15"/>
  <c r="BE15"/>
  <c r="BD15"/>
  <c r="BB15"/>
  <c r="BA15"/>
  <c r="AZ15"/>
  <c r="AX15"/>
  <c r="AW15"/>
  <c r="AV15"/>
  <c r="AU15"/>
  <c r="AT15"/>
  <c r="AM15"/>
  <c r="AL15"/>
  <c r="AK15"/>
  <c r="AJ15"/>
  <c r="AI15"/>
  <c r="AH15"/>
  <c r="AG15"/>
  <c r="AA15"/>
  <c r="Y15"/>
  <c r="X15"/>
  <c r="W15"/>
  <c r="Q15"/>
  <c r="P15"/>
  <c r="O15"/>
  <c r="N15"/>
  <c r="M15"/>
  <c r="L15"/>
  <c r="K15"/>
  <c r="CG14"/>
  <c r="CF14"/>
  <c r="CE14"/>
  <c r="CD14"/>
  <c r="CC14"/>
  <c r="CB14"/>
  <c r="CA14"/>
  <c r="BZ14"/>
  <c r="BY14"/>
  <c r="BX14"/>
  <c r="BW14"/>
  <c r="BQ14"/>
  <c r="BP14"/>
  <c r="BO14"/>
  <c r="BN14"/>
  <c r="BM14"/>
  <c r="BF14"/>
  <c r="BE14"/>
  <c r="BD14"/>
  <c r="BB14"/>
  <c r="AZ14"/>
  <c r="AX14"/>
  <c r="AW14"/>
  <c r="AV14"/>
  <c r="AU14"/>
  <c r="AT14"/>
  <c r="AN14"/>
  <c r="AL14"/>
  <c r="AK14"/>
  <c r="AJ14"/>
  <c r="AI14"/>
  <c r="AH14"/>
  <c r="AG14"/>
  <c r="Z14"/>
  <c r="Y14"/>
  <c r="X14"/>
  <c r="W14"/>
  <c r="Q14"/>
  <c r="P14"/>
  <c r="O14"/>
  <c r="N14"/>
  <c r="M14"/>
  <c r="L14"/>
  <c r="K14"/>
  <c r="CG13"/>
  <c r="CF13"/>
  <c r="CE13"/>
  <c r="CD13"/>
  <c r="CC13"/>
  <c r="CB13"/>
  <c r="BZ13"/>
  <c r="BY13"/>
  <c r="BX13"/>
  <c r="BW13"/>
  <c r="BQ13"/>
  <c r="BP13"/>
  <c r="BO13"/>
  <c r="BN13"/>
  <c r="BM13"/>
  <c r="BF13"/>
  <c r="BE13"/>
  <c r="BD13"/>
  <c r="BB13"/>
  <c r="BA13"/>
  <c r="AZ13"/>
  <c r="AX13"/>
  <c r="AW13"/>
  <c r="AV13"/>
  <c r="AU13"/>
  <c r="AT13"/>
  <c r="AM13"/>
  <c r="AL13"/>
  <c r="AK13"/>
  <c r="AJ13"/>
  <c r="AI13"/>
  <c r="AH13"/>
  <c r="AG13"/>
  <c r="Z13"/>
  <c r="Y13"/>
  <c r="X13"/>
  <c r="W13"/>
  <c r="P13"/>
  <c r="O13"/>
  <c r="N13"/>
  <c r="M13"/>
  <c r="L13"/>
  <c r="K13"/>
  <c r="CG12"/>
  <c r="CF12"/>
  <c r="CE12"/>
  <c r="CD12"/>
  <c r="CC12"/>
  <c r="CB12"/>
  <c r="CA12"/>
  <c r="BZ12"/>
  <c r="BY12"/>
  <c r="BX12"/>
  <c r="BW12"/>
  <c r="BP12"/>
  <c r="BO12"/>
  <c r="BN12"/>
  <c r="BM12"/>
  <c r="BG12"/>
  <c r="BF12"/>
  <c r="BE12"/>
  <c r="BD12"/>
  <c r="BB12"/>
  <c r="BA12"/>
  <c r="AY12"/>
  <c r="AX12"/>
  <c r="AW12"/>
  <c r="AV12"/>
  <c r="AU12"/>
  <c r="AT12"/>
  <c r="AM12"/>
  <c r="AL12"/>
  <c r="AK12"/>
  <c r="AJ12"/>
  <c r="AI12"/>
  <c r="AH12"/>
  <c r="AG12"/>
  <c r="Z12"/>
  <c r="Y12"/>
  <c r="X12"/>
  <c r="W12"/>
  <c r="Q12"/>
  <c r="P12"/>
  <c r="O12"/>
  <c r="N12"/>
  <c r="CG11"/>
  <c r="CF11"/>
  <c r="CE11"/>
  <c r="CD11"/>
  <c r="CC11"/>
  <c r="CB11"/>
  <c r="CA11"/>
  <c r="BZ11"/>
  <c r="BY11"/>
  <c r="BX11"/>
  <c r="BW11"/>
  <c r="BQ11"/>
  <c r="BP11"/>
  <c r="BO11"/>
  <c r="BN11"/>
  <c r="BM11"/>
  <c r="BG11"/>
  <c r="BF11"/>
  <c r="BE11"/>
  <c r="BD11"/>
  <c r="BB11"/>
  <c r="BA11"/>
  <c r="AZ11"/>
  <c r="AX11"/>
  <c r="AW11"/>
  <c r="AV11"/>
  <c r="AU11"/>
  <c r="AT11"/>
  <c r="AM11"/>
  <c r="AL11"/>
  <c r="AK11"/>
  <c r="AJ11"/>
  <c r="AI11"/>
  <c r="AH11"/>
  <c r="AG11"/>
  <c r="AA11"/>
  <c r="Y11"/>
  <c r="X11"/>
  <c r="W11"/>
  <c r="Q11"/>
  <c r="P11"/>
  <c r="O11"/>
  <c r="N11"/>
  <c r="CG10"/>
  <c r="CF10"/>
  <c r="CE10"/>
  <c r="CD10"/>
  <c r="CC10"/>
  <c r="CB10"/>
  <c r="CA10"/>
  <c r="BZ10"/>
  <c r="BY10"/>
  <c r="BX10"/>
  <c r="BW10"/>
  <c r="BQ10"/>
  <c r="BP10"/>
  <c r="BO10"/>
  <c r="BN10"/>
  <c r="BM10"/>
  <c r="BG10"/>
  <c r="BF10"/>
  <c r="BE10"/>
  <c r="BD10"/>
  <c r="BB10"/>
  <c r="BA10"/>
  <c r="AY10"/>
  <c r="AX10"/>
  <c r="AW10"/>
  <c r="AV10"/>
  <c r="AU10"/>
  <c r="AT10"/>
  <c r="AM10"/>
  <c r="AL10"/>
  <c r="AK10"/>
  <c r="AJ10"/>
  <c r="AI10"/>
  <c r="AH10"/>
  <c r="AG10"/>
  <c r="AA10"/>
  <c r="Y10"/>
  <c r="X10"/>
  <c r="W10"/>
  <c r="Q10"/>
  <c r="P10"/>
  <c r="O10"/>
  <c r="N10"/>
  <c r="CG9"/>
  <c r="CF9"/>
  <c r="CE9"/>
  <c r="CD9"/>
  <c r="CC9"/>
  <c r="CB9"/>
  <c r="CA9"/>
  <c r="BZ9"/>
  <c r="BY9"/>
  <c r="BX9"/>
  <c r="BW9"/>
  <c r="BP9"/>
  <c r="BO9"/>
  <c r="BN9"/>
  <c r="BM9"/>
  <c r="BG9"/>
  <c r="BF9"/>
  <c r="BE9"/>
  <c r="BD9"/>
  <c r="BB9"/>
  <c r="BA9"/>
  <c r="AY9"/>
  <c r="AX9"/>
  <c r="AW9"/>
  <c r="AV9"/>
  <c r="AU9"/>
  <c r="AT9"/>
  <c r="AN9"/>
  <c r="AL9"/>
  <c r="AK9"/>
  <c r="AJ9"/>
  <c r="AI9"/>
  <c r="AH9"/>
  <c r="AG9"/>
  <c r="Z9"/>
  <c r="Y9"/>
  <c r="X9"/>
  <c r="W9"/>
  <c r="P9"/>
  <c r="O9"/>
  <c r="N9"/>
  <c r="M9"/>
  <c r="L9"/>
  <c r="K9"/>
  <c r="CG8"/>
  <c r="CF8"/>
  <c r="CE8"/>
  <c r="CD8"/>
  <c r="CC8"/>
  <c r="CB8"/>
  <c r="BZ8"/>
  <c r="BY8"/>
  <c r="BX8"/>
  <c r="BW8"/>
  <c r="BQ8"/>
  <c r="BP8"/>
  <c r="BO8"/>
  <c r="BN8"/>
  <c r="BM8"/>
  <c r="BF8"/>
  <c r="BE8"/>
  <c r="BD8"/>
  <c r="BB8"/>
  <c r="BA8"/>
  <c r="AZ8"/>
  <c r="AX8"/>
  <c r="AW8"/>
  <c r="AV8"/>
  <c r="AU8"/>
  <c r="AT8"/>
  <c r="AM8"/>
  <c r="AL8"/>
  <c r="AK8"/>
  <c r="AJ8"/>
  <c r="AI8"/>
  <c r="AH8"/>
  <c r="AG8"/>
  <c r="Z8"/>
  <c r="Y8"/>
  <c r="X8"/>
  <c r="W8"/>
  <c r="Q8"/>
  <c r="P8"/>
  <c r="O8"/>
  <c r="N8"/>
  <c r="CG7"/>
  <c r="CF7"/>
  <c r="CE7"/>
  <c r="CD7"/>
  <c r="CC7"/>
  <c r="CB7"/>
  <c r="CA7"/>
  <c r="BZ7"/>
  <c r="BY7"/>
  <c r="BX7"/>
  <c r="BW7"/>
  <c r="BP7"/>
  <c r="BO7"/>
  <c r="BN7"/>
  <c r="BM7"/>
  <c r="BF7"/>
  <c r="BE7"/>
  <c r="BD7"/>
  <c r="BB7"/>
  <c r="BA7"/>
  <c r="AY7"/>
  <c r="AX7"/>
  <c r="AW7"/>
  <c r="AV7"/>
  <c r="AU7"/>
  <c r="AT7"/>
  <c r="AN7"/>
  <c r="AL7"/>
  <c r="AK7"/>
  <c r="AJ7"/>
  <c r="AI7"/>
  <c r="AH7"/>
  <c r="AG7"/>
  <c r="AA7"/>
  <c r="Y7"/>
  <c r="X7"/>
  <c r="W7"/>
  <c r="Q7"/>
  <c r="P7"/>
  <c r="O7"/>
  <c r="N7"/>
  <c r="CG6"/>
  <c r="CF6"/>
  <c r="CE6"/>
  <c r="CD6"/>
  <c r="CC6"/>
  <c r="CB6"/>
  <c r="CA6"/>
  <c r="BZ6"/>
  <c r="BY6"/>
  <c r="BX6"/>
  <c r="BW6"/>
  <c r="BQ6"/>
  <c r="BP6"/>
  <c r="BO6"/>
  <c r="BN6"/>
  <c r="BM6"/>
  <c r="BF6"/>
  <c r="BE6"/>
  <c r="BD6"/>
  <c r="BB6"/>
  <c r="BA6"/>
  <c r="AY6"/>
  <c r="AX6"/>
  <c r="AW6"/>
  <c r="AV6"/>
  <c r="AU6"/>
  <c r="AT6"/>
  <c r="AN6"/>
  <c r="AL6"/>
  <c r="AK6"/>
  <c r="AJ6"/>
  <c r="AI6"/>
  <c r="AH6"/>
  <c r="AG6"/>
  <c r="Z6"/>
  <c r="Y6"/>
  <c r="X6"/>
  <c r="W6"/>
  <c r="Q6"/>
  <c r="P6"/>
  <c r="O6"/>
  <c r="N6"/>
  <c r="CG5"/>
  <c r="CF5"/>
  <c r="CE5"/>
  <c r="CD5"/>
  <c r="CC5"/>
  <c r="CB5"/>
  <c r="CA5"/>
  <c r="BZ5"/>
  <c r="BY5"/>
  <c r="BX5"/>
  <c r="BW5"/>
  <c r="BQ5"/>
  <c r="BP5"/>
  <c r="BO5"/>
  <c r="BN5"/>
  <c r="BM5"/>
  <c r="BF5"/>
  <c r="BE5"/>
  <c r="BD5"/>
  <c r="BB5"/>
  <c r="BA5"/>
  <c r="AZ5"/>
  <c r="AX5"/>
  <c r="AW5"/>
  <c r="AV5"/>
  <c r="AU5"/>
  <c r="AT5"/>
  <c r="AN5"/>
  <c r="AL5"/>
  <c r="AK5"/>
  <c r="AJ5"/>
  <c r="AI5"/>
  <c r="AH5"/>
  <c r="AG5"/>
  <c r="AA5"/>
  <c r="Y5"/>
  <c r="X5"/>
  <c r="W5"/>
  <c r="Q5"/>
  <c r="P5"/>
  <c r="O5"/>
  <c r="N5"/>
  <c r="M5"/>
  <c r="L5"/>
  <c r="K5"/>
  <c r="CG4"/>
  <c r="CF4"/>
  <c r="CE4"/>
  <c r="CD4"/>
  <c r="CC4"/>
  <c r="CB4"/>
  <c r="CA4"/>
  <c r="BZ4"/>
  <c r="BY4"/>
  <c r="BX4"/>
  <c r="BW4"/>
  <c r="BQ4"/>
  <c r="BP4"/>
  <c r="BO4"/>
  <c r="BN4"/>
  <c r="BM4"/>
  <c r="BF4"/>
  <c r="BE4"/>
  <c r="BD4"/>
  <c r="BB4"/>
  <c r="BA4"/>
  <c r="AZ4"/>
  <c r="AX4"/>
  <c r="AW4"/>
  <c r="AV4"/>
  <c r="AU4"/>
  <c r="AT4"/>
  <c r="AN4"/>
  <c r="AL4"/>
  <c r="AK4"/>
  <c r="AJ4"/>
  <c r="AI4"/>
  <c r="AH4"/>
  <c r="AG4"/>
  <c r="Z4"/>
  <c r="Y4"/>
  <c r="X4"/>
  <c r="W4"/>
  <c r="Q4"/>
  <c r="P4"/>
  <c r="O4"/>
  <c r="N4"/>
  <c r="CG3"/>
  <c r="CF3"/>
  <c r="CE3"/>
  <c r="CD3"/>
  <c r="CC3"/>
  <c r="CB3"/>
  <c r="BZ3"/>
  <c r="BY3"/>
  <c r="BX3"/>
  <c r="BW3"/>
  <c r="BQ3"/>
  <c r="BP3"/>
  <c r="BO3"/>
  <c r="BN3"/>
  <c r="BM3"/>
  <c r="BF3"/>
  <c r="BE3"/>
  <c r="BD3"/>
  <c r="BB3"/>
  <c r="AZ3"/>
  <c r="AX3"/>
  <c r="AW3"/>
  <c r="AV3"/>
  <c r="AU3"/>
  <c r="AT3"/>
  <c r="AN3"/>
  <c r="AL3"/>
  <c r="AK3"/>
  <c r="AJ3"/>
  <c r="AI3"/>
  <c r="AH3"/>
  <c r="AG3"/>
  <c r="Z3"/>
  <c r="Y3"/>
  <c r="X3"/>
  <c r="W3"/>
  <c r="Q3"/>
  <c r="P3"/>
  <c r="O3"/>
  <c r="N3"/>
</calcChain>
</file>

<file path=xl/comments1.xml><?xml version="1.0" encoding="utf-8"?>
<comments xmlns="http://schemas.openxmlformats.org/spreadsheetml/2006/main">
  <authors>
    <author>Administrator</author>
  </authors>
  <commentList>
    <comment ref="CE4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减去杨伟钰8月金牌（741.8）</t>
        </r>
      </text>
    </comment>
    <comment ref="CG9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罚款减半</t>
        </r>
      </text>
    </comment>
  </commentList>
</comments>
</file>

<file path=xl/sharedStrings.xml><?xml version="1.0" encoding="utf-8"?>
<sst xmlns="http://schemas.openxmlformats.org/spreadsheetml/2006/main" count="1664" uniqueCount="670">
  <si>
    <t>天胶（本月天胶按7.26-8.31日统计）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</si>
  <si>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</si>
  <si>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</si>
  <si>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</si>
  <si>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</si>
  <si>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</si>
  <si>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</si>
  <si>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</si>
  <si>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</si>
  <si>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</si>
  <si>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</si>
  <si>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</si>
  <si>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</si>
  <si>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</si>
  <si>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</si>
  <si>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</si>
  <si>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实际销售数量</t>
  </si>
  <si>
    <t>提成计数</t>
  </si>
  <si>
    <r>
      <rPr>
        <b/>
        <sz val="10"/>
        <rFont val="Arial"/>
      </rPr>
      <t>1399</t>
    </r>
    <r>
      <rPr>
        <b/>
        <sz val="10"/>
        <rFont val="宋体"/>
        <charset val="134"/>
      </rPr>
      <t>两盒计数</t>
    </r>
  </si>
  <si>
    <t>二赠一计数</t>
  </si>
  <si>
    <t>基础任务差异</t>
  </si>
  <si>
    <t>挑战任务差异</t>
  </si>
  <si>
    <t>奖励</t>
  </si>
  <si>
    <t>处罚</t>
  </si>
  <si>
    <t>实际销售</t>
  </si>
  <si>
    <t>连花+奥肯能</t>
  </si>
  <si>
    <t>散列通</t>
  </si>
  <si>
    <t>炎可宁+金蒿+桔贝</t>
  </si>
  <si>
    <t>数量合计</t>
  </si>
  <si>
    <t>奖励金额</t>
  </si>
  <si>
    <t>处罚金额</t>
  </si>
  <si>
    <t>铁笛+苦金</t>
  </si>
  <si>
    <t>康复新液</t>
  </si>
  <si>
    <t>销售合计</t>
  </si>
  <si>
    <t>8月任务</t>
  </si>
  <si>
    <t>14.5及以上销售</t>
  </si>
  <si>
    <t>14.5以下销售</t>
  </si>
  <si>
    <t>合计销售</t>
  </si>
  <si>
    <t>任务差异</t>
  </si>
  <si>
    <t>挑战金额</t>
  </si>
  <si>
    <t>合计奖励</t>
  </si>
  <si>
    <t>基础任务完成率</t>
  </si>
  <si>
    <t>应发奖励</t>
  </si>
  <si>
    <t>合计处罚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</si>
  <si>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</si>
  <si>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</si>
  <si>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</si>
  <si>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</si>
  <si>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</si>
  <si>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</si>
  <si>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</si>
  <si>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</si>
  <si>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</si>
  <si>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</si>
  <si>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</si>
  <si>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</si>
  <si>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</si>
  <si>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</si>
  <si>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</si>
  <si>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</si>
  <si>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武阳西路店</t>
  </si>
  <si>
    <t>邛崃翠荫路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</si>
  <si>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</si>
  <si>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</si>
  <si>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</si>
  <si>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</si>
  <si>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</si>
  <si>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</si>
  <si>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</si>
  <si>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</si>
  <si>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</si>
  <si>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</si>
  <si>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</si>
  <si>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</si>
  <si>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</si>
  <si>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</si>
  <si>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</si>
  <si>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</si>
  <si>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</si>
  <si>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</si>
  <si>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</si>
  <si>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</si>
  <si>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</si>
  <si>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</si>
  <si>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</si>
  <si>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</si>
  <si>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</si>
  <si>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</si>
  <si>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</si>
  <si>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</si>
  <si>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</si>
  <si>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</si>
  <si>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</si>
  <si>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</si>
  <si>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</si>
  <si>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</si>
  <si>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</si>
  <si>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</si>
  <si>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</si>
  <si>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</si>
  <si>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</si>
  <si>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</si>
  <si>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</si>
  <si>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</si>
  <si>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</si>
  <si>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</si>
  <si>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</si>
  <si>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</si>
  <si>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</si>
  <si>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</si>
  <si>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</si>
  <si>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</si>
  <si>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</si>
  <si>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</si>
  <si>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</si>
  <si>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</si>
  <si>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</si>
  <si>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</si>
  <si>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</si>
  <si>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</si>
  <si>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</si>
  <si>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</si>
  <si>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</si>
  <si>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</si>
  <si>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</si>
  <si>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</si>
  <si>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</si>
  <si>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</si>
  <si>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</si>
  <si>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</si>
  <si>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</si>
  <si>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</si>
  <si>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</si>
  <si>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</si>
  <si>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</si>
  <si>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</si>
  <si>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</si>
  <si>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</si>
  <si>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</si>
  <si>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</si>
  <si>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</si>
  <si>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</si>
  <si>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</si>
  <si>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</si>
  <si>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</si>
  <si>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</si>
  <si>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</si>
  <si>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</si>
  <si>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</si>
  <si>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</si>
  <si>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</si>
  <si>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</si>
  <si>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</si>
  <si>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</si>
  <si>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天胶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</si>
  <si>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</si>
  <si>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</si>
  <si>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</si>
  <si>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</si>
  <si>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</si>
  <si>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</si>
  <si>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</si>
  <si>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</si>
  <si>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</si>
  <si>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</si>
  <si>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</si>
  <si>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</si>
  <si>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</si>
  <si>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</si>
  <si>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</si>
  <si>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</si>
  <si>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</si>
  <si>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</si>
  <si>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</si>
  <si>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</si>
  <si>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</si>
  <si>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</si>
  <si>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</si>
  <si>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</si>
  <si>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</si>
  <si>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</si>
  <si>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</si>
  <si>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</si>
  <si>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</si>
  <si>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</si>
  <si>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</si>
  <si>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</si>
  <si>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</si>
  <si>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</si>
  <si>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</si>
  <si>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</si>
  <si>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</si>
  <si>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</si>
  <si>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</si>
  <si>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</si>
  <si>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</si>
  <si>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</si>
  <si>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</si>
  <si>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</si>
  <si>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</si>
  <si>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</si>
  <si>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</si>
  <si>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</si>
  <si>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</si>
  <si>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</si>
  <si>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</si>
  <si>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</si>
  <si>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</si>
  <si>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</si>
  <si>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</si>
  <si>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</si>
  <si>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</si>
  <si>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</si>
  <si>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</si>
  <si>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</si>
  <si>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</si>
  <si>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</si>
  <si>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</si>
  <si>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</si>
  <si>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</si>
  <si>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</si>
  <si>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</si>
  <si>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</si>
  <si>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</si>
  <si>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</si>
  <si>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</si>
  <si>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</si>
  <si>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</si>
  <si>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</si>
  <si>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</si>
  <si>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</si>
  <si>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</si>
  <si>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</si>
  <si>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</si>
  <si>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</si>
  <si>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</si>
  <si>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</si>
  <si>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</si>
  <si>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</si>
  <si>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</si>
  <si>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</si>
  <si>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</si>
  <si>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</si>
  <si>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</si>
  <si>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</si>
  <si>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</si>
  <si>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</si>
  <si>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智托洁白丸</t>
  </si>
  <si>
    <t>12丸(水蜜丸)</t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</si>
  <si>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</si>
  <si>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</si>
  <si>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</si>
  <si>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</si>
  <si>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</si>
  <si>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</si>
  <si>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</si>
  <si>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</si>
  <si>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</si>
  <si>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</si>
  <si>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</si>
  <si>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</si>
  <si>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</si>
  <si>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</si>
  <si>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</si>
  <si>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</si>
  <si>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</si>
  <si>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</si>
  <si>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</si>
  <si>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</si>
  <si>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</si>
  <si>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</si>
  <si>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</si>
  <si>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</si>
  <si>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</si>
  <si>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</si>
  <si>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</si>
  <si>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</si>
  <si>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</si>
  <si>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</si>
  <si>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</si>
  <si>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</si>
  <si>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</si>
  <si>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</si>
  <si>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</si>
  <si>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</si>
  <si>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</si>
  <si>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</si>
  <si>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</si>
  <si>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</si>
  <si>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</si>
  <si>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</si>
  <si>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</si>
  <si>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</si>
  <si>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</si>
  <si>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</si>
  <si>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</si>
  <si>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</si>
  <si>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</si>
  <si>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</si>
  <si>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</si>
  <si>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</si>
  <si>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</si>
  <si>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</si>
  <si>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</si>
  <si>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</si>
  <si>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</si>
  <si>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</si>
  <si>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</si>
  <si>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</si>
  <si>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</si>
  <si>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</si>
  <si>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</si>
  <si>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</si>
  <si>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</si>
  <si>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</si>
  <si>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</si>
  <si>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</si>
  <si>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</si>
  <si>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</si>
  <si>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</si>
  <si>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</si>
  <si>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</si>
  <si>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</si>
  <si>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</si>
  <si>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</si>
  <si>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</si>
  <si>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</si>
  <si>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</si>
  <si>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</si>
  <si>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</si>
  <si>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</si>
  <si>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</si>
  <si>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</si>
  <si>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</si>
  <si>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</si>
  <si>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</si>
  <si>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</si>
  <si>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</si>
  <si>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</si>
  <si>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</si>
  <si>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</si>
  <si>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</si>
  <si>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</si>
  <si>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</si>
  <si>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</si>
  <si>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</si>
  <si>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</si>
  <si>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</si>
  <si>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</si>
  <si>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</si>
  <si>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</si>
  <si>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</si>
  <si>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</si>
  <si>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</si>
  <si>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</si>
  <si>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</si>
  <si>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</si>
  <si>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</si>
  <si>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</si>
  <si>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</si>
  <si>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</si>
  <si>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</si>
  <si>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</si>
  <si>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</si>
  <si>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</si>
  <si>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</si>
  <si>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</si>
  <si>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</si>
  <si>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</si>
  <si>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</si>
  <si>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</si>
  <si>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</si>
  <si>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</si>
  <si>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</si>
  <si>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</si>
  <si>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</si>
  <si>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</si>
  <si>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</si>
  <si>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</si>
  <si>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</si>
  <si>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</si>
  <si>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</si>
  <si>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</si>
  <si>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</si>
  <si>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</si>
  <si>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</si>
  <si>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</si>
  <si>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</si>
  <si>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</si>
  <si>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</si>
  <si>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</si>
  <si>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</si>
  <si>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</si>
  <si>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</si>
  <si>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</si>
  <si>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</si>
  <si>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</si>
  <si>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</si>
  <si>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</si>
  <si>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</si>
  <si>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</si>
  <si>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</si>
  <si>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</si>
  <si>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</si>
  <si>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</si>
  <si>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</si>
  <si>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</si>
  <si>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</si>
  <si>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</si>
  <si>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</si>
  <si>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</si>
  <si>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</si>
  <si>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</si>
  <si>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</si>
  <si>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</si>
  <si>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</si>
  <si>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</si>
  <si>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</si>
  <si>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</si>
  <si>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</si>
  <si>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</si>
  <si>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</si>
  <si>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</si>
  <si>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</si>
  <si>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</si>
  <si>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</si>
  <si>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</si>
  <si>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</si>
  <si>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</si>
  <si>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</si>
  <si>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</si>
  <si>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</si>
  <si>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</si>
  <si>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</si>
  <si>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</si>
  <si>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</si>
  <si>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</si>
  <si>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</si>
  <si>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</si>
  <si>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</si>
  <si>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</si>
  <si>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</si>
  <si>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</si>
  <si>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</si>
  <si>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</si>
  <si>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</si>
  <si>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</si>
  <si>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</si>
  <si>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</si>
  <si>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</si>
  <si>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</si>
  <si>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</si>
  <si>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</si>
  <si>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</si>
  <si>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</si>
  <si>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</si>
  <si>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</si>
  <si>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</si>
  <si>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</si>
  <si>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</si>
  <si>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</si>
  <si>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</si>
  <si>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</si>
  <si>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</si>
  <si>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</si>
  <si>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</si>
  <si>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</si>
  <si>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</si>
  <si>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</si>
  <si>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</si>
  <si>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</si>
  <si>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</si>
  <si>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</si>
  <si>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</si>
  <si>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</si>
  <si>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</si>
  <si>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</si>
  <si>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</si>
  <si>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</si>
  <si>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</si>
  <si>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</si>
  <si>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</si>
  <si>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</si>
  <si>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</si>
  <si>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</si>
  <si>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</si>
  <si>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</si>
  <si>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</si>
  <si>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</si>
  <si>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</si>
  <si>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</si>
  <si>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</si>
  <si>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</si>
  <si>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</si>
  <si>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</si>
  <si>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</si>
  <si>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</si>
  <si>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</si>
  <si>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</si>
  <si>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</si>
  <si>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</si>
  <si>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</si>
  <si>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</si>
  <si>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</si>
  <si>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</si>
  <si>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</si>
  <si>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</si>
  <si>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</si>
  <si>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</si>
  <si>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</si>
  <si>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</si>
  <si>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</si>
  <si>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</si>
  <si>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</si>
  <si>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</si>
  <si>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</si>
  <si>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</si>
  <si>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</si>
  <si>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</si>
  <si>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</si>
  <si>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</si>
  <si>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</si>
  <si>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</si>
  <si>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</si>
  <si>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</si>
  <si>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</si>
  <si>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</si>
  <si>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</si>
  <si>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</si>
  <si>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</si>
  <si>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</si>
  <si>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</si>
  <si>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</si>
  <si>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</si>
  <si>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</si>
  <si>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</si>
  <si>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</si>
  <si>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</si>
  <si>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</si>
  <si>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</si>
  <si>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</si>
  <si>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</si>
  <si>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</si>
  <si>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</si>
  <si>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</si>
  <si>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</si>
  <si>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</si>
  <si>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</si>
  <si>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</si>
  <si>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</si>
  <si>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</si>
  <si>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</si>
  <si>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</si>
  <si>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</si>
  <si>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</si>
  <si>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</si>
  <si>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</si>
  <si>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</si>
  <si>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</si>
  <si>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</si>
  <si>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</si>
  <si>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</si>
  <si>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</si>
  <si>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</si>
  <si>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</si>
  <si>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</si>
  <si>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</si>
  <si>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</si>
  <si>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</si>
  <si>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</si>
  <si>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</si>
  <si>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</si>
  <si>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</si>
  <si>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</si>
  <si>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</si>
  <si>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</si>
  <si>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</si>
  <si>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</si>
  <si>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</si>
  <si>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</si>
  <si>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</si>
  <si>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</si>
  <si>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</si>
  <si>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</si>
  <si>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</si>
  <si>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</si>
  <si>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</si>
  <si>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</si>
  <si>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</si>
  <si>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</si>
  <si>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</si>
  <si>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</si>
  <si>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</si>
  <si>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</si>
  <si>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</si>
  <si>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</si>
  <si>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</si>
  <si>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</si>
  <si>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</si>
  <si>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</si>
  <si>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</si>
  <si>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</si>
  <si>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</si>
  <si>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</si>
  <si>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</si>
  <si>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</si>
  <si>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</si>
  <si>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</si>
  <si>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</si>
  <si>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</si>
  <si>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</si>
  <si>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176958,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</si>
  <si>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</si>
  <si>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</si>
  <si>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</si>
  <si>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</si>
  <si>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</si>
  <si>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</si>
  <si>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</si>
  <si>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</si>
  <si>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</si>
  <si>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</si>
  <si>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</si>
  <si>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</si>
  <si>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 xml:space="preserve">挑战1 </t>
  </si>
  <si>
    <t>按15元/盒处罚</t>
  </si>
  <si>
    <t>保底奖励70元，不含赠品（未按零售价销售的根据通知或按情况奖励）</t>
  </si>
  <si>
    <t>8.26-8.30日期间销售的按基础档提成</t>
  </si>
  <si>
    <t>1399两盒提成15元/盒</t>
  </si>
  <si>
    <t>二赠一算两盒，按40/盒提成</t>
  </si>
  <si>
    <t>126丸/瓶(浓缩丸)</t>
  </si>
  <si>
    <t>太极集团重庆涪陵制药厂有限公司</t>
  </si>
  <si>
    <t>164949</t>
  </si>
  <si>
    <t xml:space="preserve">合计 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</si>
  <si>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</si>
  <si>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</si>
  <si>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</si>
  <si>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</si>
  <si>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</si>
  <si>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</si>
  <si>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</si>
  <si>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</si>
  <si>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</si>
  <si>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</si>
  <si>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</si>
  <si>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</si>
  <si>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</si>
  <si>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</si>
  <si>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</si>
  <si>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</si>
  <si>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</si>
  <si>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</si>
  <si>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</si>
  <si>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基础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</si>
  <si>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</si>
  <si>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</si>
  <si>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</si>
  <si>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</si>
  <si>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</si>
  <si>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</si>
  <si>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</si>
  <si>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</si>
  <si>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</si>
  <si>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</si>
  <si>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二赠一提成计数</t>
  </si>
  <si>
    <t>799提成计数</t>
  </si>
  <si>
    <t>6月任务</t>
  </si>
  <si>
    <t>实际奖励</t>
  </si>
  <si>
    <t>欠款2272.15</t>
  </si>
  <si>
    <t>差额5.45</t>
  </si>
</sst>
</file>

<file path=xl/styles.xml><?xml version="1.0" encoding="utf-8"?>
<styleSheet xmlns="http://schemas.openxmlformats.org/spreadsheetml/2006/main">
  <numFmts count="4">
    <numFmt numFmtId="176" formatCode="0.0_ "/>
    <numFmt numFmtId="177" formatCode="0.00_ "/>
    <numFmt numFmtId="178" formatCode="0_ "/>
    <numFmt numFmtId="181" formatCode="&quot;￥&quot;#,##0.00_);[Red]\(&quot;￥&quot;#,##0.00\)"/>
  </numFmts>
  <fonts count="2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name val="宋体"/>
      <charset val="134"/>
    </font>
  </fonts>
  <fills count="11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3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8" fontId="2" fillId="0" borderId="1" xfId="7" applyNumberFormat="1" applyFont="1" applyFill="1" applyBorder="1" applyAlignment="1">
      <alignment horizontal="left" vertical="center"/>
    </xf>
    <xf numFmtId="178" fontId="5" fillId="0" borderId="1" xfId="7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/>
    </xf>
    <xf numFmtId="177" fontId="2" fillId="0" borderId="1" xfId="7" applyNumberFormat="1" applyFont="1" applyFill="1" applyBorder="1" applyAlignment="1">
      <alignment horizontal="center" vertical="center"/>
    </xf>
    <xf numFmtId="178" fontId="2" fillId="0" borderId="1" xfId="7" applyNumberFormat="1" applyFont="1" applyFill="1" applyBorder="1" applyAlignment="1">
      <alignment horizontal="center" vertical="center"/>
    </xf>
    <xf numFmtId="0" fontId="2" fillId="0" borderId="1" xfId="7" applyNumberFormat="1" applyFont="1" applyFill="1" applyBorder="1" applyAlignment="1">
      <alignment horizontal="left" vertical="center"/>
    </xf>
    <xf numFmtId="176" fontId="2" fillId="0" borderId="1" xfId="2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8" fontId="1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8" fontId="2" fillId="2" borderId="1" xfId="7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8" fontId="5" fillId="2" borderId="1" xfId="7" applyNumberFormat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center" vertical="top"/>
    </xf>
    <xf numFmtId="178" fontId="2" fillId="0" borderId="1" xfId="7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7" applyNumberFormat="1" applyFont="1" applyFill="1" applyBorder="1" applyAlignment="1">
      <alignment horizontal="center" vertical="top"/>
    </xf>
    <xf numFmtId="0" fontId="6" fillId="2" borderId="1" xfId="2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6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0" borderId="1" xfId="7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9" fillId="0" borderId="1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8" fillId="0" borderId="4" xfId="0" applyFont="1" applyFill="1" applyBorder="1" applyAlignment="1"/>
    <xf numFmtId="0" fontId="8" fillId="0" borderId="6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10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8" fontId="12" fillId="3" borderId="1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8" fillId="0" borderId="1" xfId="0" applyNumberFormat="1" applyFont="1" applyFill="1" applyBorder="1" applyAlignment="1">
      <alignment horizontal="left"/>
    </xf>
    <xf numFmtId="0" fontId="8" fillId="0" borderId="0" xfId="0" applyFont="1" applyFill="1" applyBorder="1" applyAlignment="1"/>
    <xf numFmtId="0" fontId="9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/>
    <xf numFmtId="0" fontId="9" fillId="4" borderId="1" xfId="0" applyFont="1" applyFill="1" applyBorder="1" applyAlignment="1"/>
    <xf numFmtId="0" fontId="2" fillId="4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wrapText="1"/>
    </xf>
    <xf numFmtId="0" fontId="7" fillId="0" borderId="1" xfId="0" applyFont="1" applyFill="1" applyBorder="1" applyAlignment="1">
      <alignment horizontal="left" wrapText="1" shrinkToFit="1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 wrapText="1"/>
    </xf>
    <xf numFmtId="0" fontId="9" fillId="0" borderId="6" xfId="0" applyFont="1" applyFill="1" applyBorder="1" applyAlignment="1"/>
    <xf numFmtId="0" fontId="1" fillId="0" borderId="0" xfId="0" applyFont="1" applyFill="1" applyBorder="1" applyAlignment="1">
      <alignment horizontal="left" vertical="center"/>
    </xf>
    <xf numFmtId="0" fontId="7" fillId="5" borderId="0" xfId="0" applyFont="1" applyFill="1" applyBorder="1" applyAlignment="1">
      <alignment horizontal="left" vertical="top"/>
    </xf>
    <xf numFmtId="0" fontId="5" fillId="5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5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6" fillId="5" borderId="0" xfId="0" applyFont="1" applyFill="1" applyBorder="1" applyAlignment="1">
      <alignment horizontal="left" vertical="top"/>
    </xf>
    <xf numFmtId="0" fontId="3" fillId="5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horizontal="center" vertical="top"/>
    </xf>
    <xf numFmtId="0" fontId="1" fillId="6" borderId="1" xfId="0" applyFont="1" applyFill="1" applyBorder="1" applyAlignment="1">
      <alignment horizontal="left" vertical="center" wrapText="1"/>
    </xf>
    <xf numFmtId="178" fontId="1" fillId="6" borderId="1" xfId="1" applyNumberFormat="1" applyFont="1" applyFill="1" applyBorder="1" applyAlignment="1">
      <alignment horizontal="left" vertical="center" wrapText="1"/>
    </xf>
    <xf numFmtId="0" fontId="5" fillId="5" borderId="1" xfId="2" applyFont="1" applyFill="1" applyBorder="1" applyAlignment="1">
      <alignment horizontal="left" vertical="top"/>
    </xf>
    <xf numFmtId="178" fontId="5" fillId="5" borderId="1" xfId="7" applyNumberFormat="1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top"/>
    </xf>
    <xf numFmtId="0" fontId="5" fillId="5" borderId="1" xfId="6" applyFont="1" applyFill="1" applyBorder="1" applyAlignment="1">
      <alignment horizontal="left" vertical="top"/>
    </xf>
    <xf numFmtId="0" fontId="5" fillId="5" borderId="1" xfId="5" applyFont="1" applyFill="1" applyBorder="1" applyAlignment="1">
      <alignment horizontal="left" vertical="top"/>
    </xf>
    <xf numFmtId="0" fontId="5" fillId="5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top"/>
    </xf>
    <xf numFmtId="178" fontId="1" fillId="0" borderId="1" xfId="1" applyNumberFormat="1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178" fontId="2" fillId="0" borderId="1" xfId="7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178" fontId="2" fillId="5" borderId="1" xfId="7" applyNumberFormat="1" applyFont="1" applyFill="1" applyBorder="1" applyAlignment="1">
      <alignment horizontal="left" vertical="top"/>
    </xf>
    <xf numFmtId="178" fontId="1" fillId="0" borderId="1" xfId="1" applyNumberFormat="1" applyFont="1" applyFill="1" applyBorder="1" applyAlignment="1">
      <alignment horizontal="left" vertical="center" wrapText="1"/>
    </xf>
    <xf numFmtId="1" fontId="2" fillId="0" borderId="1" xfId="2" applyNumberFormat="1" applyFont="1" applyFill="1" applyBorder="1" applyAlignment="1">
      <alignment horizontal="left" vertical="top"/>
    </xf>
    <xf numFmtId="0" fontId="2" fillId="0" borderId="1" xfId="2" applyFont="1" applyFill="1" applyBorder="1" applyAlignment="1">
      <alignment horizontal="left" vertical="top"/>
    </xf>
    <xf numFmtId="178" fontId="2" fillId="0" borderId="1" xfId="1" applyNumberFormat="1" applyFont="1" applyFill="1" applyBorder="1" applyAlignment="1">
      <alignment horizontal="left" vertical="top"/>
    </xf>
    <xf numFmtId="178" fontId="1" fillId="0" borderId="1" xfId="7" applyNumberFormat="1" applyFont="1" applyFill="1" applyBorder="1" applyAlignment="1">
      <alignment horizontal="left" vertical="top"/>
    </xf>
    <xf numFmtId="178" fontId="5" fillId="0" borderId="1" xfId="7" applyNumberFormat="1" applyFont="1" applyFill="1" applyBorder="1" applyAlignment="1">
      <alignment horizontal="left" vertical="top"/>
    </xf>
    <xf numFmtId="0" fontId="2" fillId="0" borderId="1" xfId="4" applyFont="1" applyFill="1" applyBorder="1" applyAlignment="1">
      <alignment horizontal="left" vertical="top"/>
    </xf>
    <xf numFmtId="0" fontId="11" fillId="6" borderId="1" xfId="0" applyFont="1" applyFill="1" applyBorder="1" applyAlignment="1">
      <alignment horizontal="left" vertical="center" wrapText="1"/>
    </xf>
    <xf numFmtId="0" fontId="19" fillId="6" borderId="1" xfId="0" applyFont="1" applyFill="1" applyBorder="1" applyAlignment="1">
      <alignment horizontal="left" vertical="center" wrapText="1"/>
    </xf>
    <xf numFmtId="178" fontId="1" fillId="7" borderId="1" xfId="1" applyNumberFormat="1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9" fillId="7" borderId="1" xfId="0" applyFont="1" applyFill="1" applyBorder="1" applyAlignment="1">
      <alignment horizontal="left" vertical="center" wrapText="1"/>
    </xf>
    <xf numFmtId="0" fontId="7" fillId="5" borderId="1" xfId="2" applyFont="1" applyFill="1" applyBorder="1" applyAlignment="1">
      <alignment horizontal="left" vertical="top"/>
    </xf>
    <xf numFmtId="0" fontId="5" fillId="5" borderId="1" xfId="2" applyFont="1" applyFill="1" applyBorder="1" applyAlignment="1">
      <alignment horizontal="left" vertical="center"/>
    </xf>
    <xf numFmtId="0" fontId="6" fillId="0" borderId="1" xfId="2" applyFont="1" applyFill="1" applyBorder="1" applyAlignment="1">
      <alignment horizontal="left" vertical="top"/>
    </xf>
    <xf numFmtId="0" fontId="6" fillId="5" borderId="1" xfId="2" applyFont="1" applyFill="1" applyBorder="1" applyAlignment="1">
      <alignment horizontal="left" vertical="top"/>
    </xf>
    <xf numFmtId="0" fontId="2" fillId="5" borderId="1" xfId="2" applyFont="1" applyFill="1" applyBorder="1" applyAlignment="1">
      <alignment horizontal="left" vertical="center"/>
    </xf>
    <xf numFmtId="0" fontId="7" fillId="0" borderId="1" xfId="2" applyFont="1" applyFill="1" applyBorder="1" applyAlignment="1">
      <alignment horizontal="left" vertical="top"/>
    </xf>
    <xf numFmtId="0" fontId="5" fillId="0" borderId="1" xfId="2" applyFont="1" applyFill="1" applyBorder="1" applyAlignment="1">
      <alignment horizontal="left" vertical="center"/>
    </xf>
    <xf numFmtId="0" fontId="5" fillId="5" borderId="1" xfId="7" applyNumberFormat="1" applyFont="1" applyFill="1" applyBorder="1" applyAlignment="1">
      <alignment horizontal="left" vertical="top"/>
    </xf>
    <xf numFmtId="176" fontId="5" fillId="5" borderId="1" xfId="2" applyNumberFormat="1" applyFont="1" applyFill="1" applyBorder="1" applyAlignment="1">
      <alignment horizontal="left" vertical="top"/>
    </xf>
    <xf numFmtId="176" fontId="7" fillId="5" borderId="1" xfId="2" applyNumberFormat="1" applyFont="1" applyFill="1" applyBorder="1" applyAlignment="1">
      <alignment horizontal="left" vertical="top"/>
    </xf>
    <xf numFmtId="0" fontId="2" fillId="0" borderId="1" xfId="7" applyNumberFormat="1" applyFont="1" applyFill="1" applyBorder="1" applyAlignment="1">
      <alignment horizontal="left" vertical="top"/>
    </xf>
    <xf numFmtId="176" fontId="2" fillId="0" borderId="1" xfId="2" applyNumberFormat="1" applyFont="1" applyFill="1" applyBorder="1" applyAlignment="1">
      <alignment horizontal="left" vertical="top"/>
    </xf>
    <xf numFmtId="0" fontId="2" fillId="5" borderId="1" xfId="7" applyNumberFormat="1" applyFont="1" applyFill="1" applyBorder="1" applyAlignment="1">
      <alignment horizontal="left" vertical="top"/>
    </xf>
    <xf numFmtId="0" fontId="2" fillId="5" borderId="1" xfId="2" applyFont="1" applyFill="1" applyBorder="1" applyAlignment="1">
      <alignment horizontal="left" vertical="top"/>
    </xf>
    <xf numFmtId="176" fontId="2" fillId="5" borderId="1" xfId="2" applyNumberFormat="1" applyFont="1" applyFill="1" applyBorder="1" applyAlignment="1">
      <alignment horizontal="left" vertical="top"/>
    </xf>
    <xf numFmtId="0" fontId="5" fillId="0" borderId="1" xfId="7" applyNumberFormat="1" applyFont="1" applyFill="1" applyBorder="1" applyAlignment="1">
      <alignment horizontal="left" vertical="top"/>
    </xf>
    <xf numFmtId="0" fontId="5" fillId="0" borderId="1" xfId="2" applyFont="1" applyFill="1" applyBorder="1" applyAlignment="1">
      <alignment horizontal="left" vertical="top"/>
    </xf>
    <xf numFmtId="176" fontId="5" fillId="0" borderId="1" xfId="2" applyNumberFormat="1" applyFont="1" applyFill="1" applyBorder="1" applyAlignment="1">
      <alignment horizontal="left" vertical="top"/>
    </xf>
    <xf numFmtId="178" fontId="5" fillId="5" borderId="1" xfId="2" applyNumberFormat="1" applyFont="1" applyFill="1" applyBorder="1" applyAlignment="1">
      <alignment horizontal="left" vertical="top"/>
    </xf>
    <xf numFmtId="0" fontId="1" fillId="8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 wrapText="1"/>
    </xf>
    <xf numFmtId="178" fontId="1" fillId="8" borderId="1" xfId="1" applyNumberFormat="1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top"/>
    </xf>
    <xf numFmtId="0" fontId="2" fillId="9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 wrapText="1"/>
    </xf>
    <xf numFmtId="0" fontId="1" fillId="10" borderId="1" xfId="0" applyFont="1" applyFill="1" applyBorder="1" applyAlignment="1">
      <alignment horizontal="left" vertical="center"/>
    </xf>
    <xf numFmtId="181" fontId="1" fillId="6" borderId="1" xfId="0" applyNumberFormat="1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left" vertical="center" wrapText="1"/>
    </xf>
    <xf numFmtId="0" fontId="2" fillId="10" borderId="1" xfId="0" applyFont="1" applyFill="1" applyBorder="1" applyAlignment="1">
      <alignment horizontal="center" vertical="center" wrapText="1"/>
    </xf>
    <xf numFmtId="9" fontId="7" fillId="5" borderId="1" xfId="1" applyFont="1" applyFill="1" applyBorder="1" applyAlignment="1" applyProtection="1">
      <alignment horizontal="left" vertical="top"/>
    </xf>
    <xf numFmtId="0" fontId="7" fillId="5" borderId="0" xfId="2" applyFont="1" applyFill="1" applyBorder="1" applyAlignment="1">
      <alignment horizontal="left" vertical="top"/>
    </xf>
    <xf numFmtId="0" fontId="5" fillId="5" borderId="0" xfId="2" applyFont="1" applyFill="1" applyBorder="1" applyAlignment="1">
      <alignment horizontal="left" vertical="top"/>
    </xf>
    <xf numFmtId="0" fontId="5" fillId="5" borderId="0" xfId="5" applyFont="1" applyFill="1" applyBorder="1" applyAlignment="1">
      <alignment horizontal="left" vertical="top"/>
    </xf>
    <xf numFmtId="178" fontId="1" fillId="0" borderId="0" xfId="1" applyNumberFormat="1" applyFont="1" applyFill="1" applyBorder="1" applyAlignment="1">
      <alignment horizontal="left" vertical="top"/>
    </xf>
    <xf numFmtId="0" fontId="7" fillId="3" borderId="1" xfId="2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5" borderId="0" xfId="2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20" fillId="5" borderId="0" xfId="5" applyFont="1" applyFill="1" applyBorder="1" applyAlignment="1">
      <alignment vertical="center"/>
    </xf>
    <xf numFmtId="0" fontId="2" fillId="0" borderId="1" xfId="3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left" vertical="top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left" vertical="top"/>
    </xf>
    <xf numFmtId="178" fontId="17" fillId="0" borderId="1" xfId="7" applyNumberFormat="1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 vertical="top"/>
    </xf>
    <xf numFmtId="0" fontId="16" fillId="5" borderId="1" xfId="0" applyFont="1" applyFill="1" applyBorder="1" applyAlignment="1">
      <alignment horizontal="left"/>
    </xf>
    <xf numFmtId="178" fontId="16" fillId="5" borderId="1" xfId="7" applyNumberFormat="1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/>
    </xf>
    <xf numFmtId="178" fontId="2" fillId="5" borderId="1" xfId="1" applyNumberFormat="1" applyFont="1" applyFill="1" applyBorder="1" applyAlignment="1">
      <alignment horizontal="left" vertical="top"/>
    </xf>
    <xf numFmtId="0" fontId="15" fillId="5" borderId="1" xfId="2" applyFont="1" applyFill="1" applyBorder="1" applyAlignment="1">
      <alignment horizontal="left" vertical="top"/>
    </xf>
    <xf numFmtId="0" fontId="16" fillId="5" borderId="1" xfId="2" applyFont="1" applyFill="1" applyBorder="1" applyAlignment="1">
      <alignment horizontal="left" vertical="center"/>
    </xf>
    <xf numFmtId="0" fontId="2" fillId="5" borderId="1" xfId="1" applyNumberFormat="1" applyFont="1" applyFill="1" applyBorder="1" applyAlignment="1">
      <alignment horizontal="left" vertical="top"/>
    </xf>
    <xf numFmtId="176" fontId="15" fillId="3" borderId="1" xfId="2" applyNumberFormat="1" applyFont="1" applyFill="1" applyBorder="1" applyAlignment="1">
      <alignment horizontal="left" vertical="top"/>
    </xf>
    <xf numFmtId="0" fontId="16" fillId="5" borderId="1" xfId="7" applyNumberFormat="1" applyFont="1" applyFill="1" applyBorder="1" applyAlignment="1">
      <alignment horizontal="left" vertical="top"/>
    </xf>
    <xf numFmtId="0" fontId="16" fillId="5" borderId="1" xfId="2" applyFont="1" applyFill="1" applyBorder="1" applyAlignment="1">
      <alignment horizontal="left" vertical="top"/>
    </xf>
    <xf numFmtId="176" fontId="16" fillId="5" borderId="1" xfId="2" applyNumberFormat="1" applyFont="1" applyFill="1" applyBorder="1" applyAlignment="1">
      <alignment horizontal="left" vertical="top"/>
    </xf>
    <xf numFmtId="178" fontId="16" fillId="5" borderId="1" xfId="2" applyNumberFormat="1" applyFont="1" applyFill="1" applyBorder="1" applyAlignment="1">
      <alignment horizontal="left" vertical="top"/>
    </xf>
    <xf numFmtId="176" fontId="16" fillId="3" borderId="1" xfId="2" applyNumberFormat="1" applyFont="1" applyFill="1" applyBorder="1" applyAlignment="1">
      <alignment horizontal="left" vertical="top"/>
    </xf>
    <xf numFmtId="0" fontId="15" fillId="3" borderId="1" xfId="2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center"/>
    </xf>
    <xf numFmtId="0" fontId="15" fillId="0" borderId="1" xfId="2" applyFont="1" applyFill="1" applyBorder="1" applyAlignment="1">
      <alignment horizontal="left" vertical="top"/>
    </xf>
    <xf numFmtId="0" fontId="16" fillId="3" borderId="1" xfId="0" applyFont="1" applyFill="1" applyBorder="1" applyAlignment="1">
      <alignment horizontal="left" vertical="top"/>
    </xf>
    <xf numFmtId="0" fontId="2" fillId="0" borderId="0" xfId="3" applyFont="1" applyFill="1" applyBorder="1" applyAlignment="1">
      <alignment horizontal="left" vertical="top"/>
    </xf>
    <xf numFmtId="9" fontId="15" fillId="0" borderId="1" xfId="1" applyFont="1" applyFill="1" applyBorder="1" applyAlignment="1" applyProtection="1">
      <alignment horizontal="left" vertical="top"/>
    </xf>
    <xf numFmtId="176" fontId="17" fillId="0" borderId="1" xfId="7" applyNumberFormat="1" applyFont="1" applyFill="1" applyBorder="1" applyAlignment="1">
      <alignment horizontal="left" vertical="top"/>
    </xf>
    <xf numFmtId="9" fontId="15" fillId="5" borderId="1" xfId="1" applyFont="1" applyFill="1" applyBorder="1" applyAlignment="1" applyProtection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/>
    </xf>
    <xf numFmtId="0" fontId="21" fillId="5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left" vertical="center" wrapText="1"/>
    </xf>
    <xf numFmtId="0" fontId="1" fillId="7" borderId="1" xfId="1" applyNumberFormat="1" applyFont="1" applyFill="1" applyBorder="1" applyAlignment="1">
      <alignment horizontal="left" vertical="center"/>
    </xf>
    <xf numFmtId="0" fontId="1" fillId="6" borderId="1" xfId="1" applyNumberFormat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8" fontId="2" fillId="0" borderId="7" xfId="0" applyNumberFormat="1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7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8">
    <cellStyle name="百分比" xfId="1" builtinId="5"/>
    <cellStyle name="百分比 10 2" xfId="7"/>
    <cellStyle name="常规" xfId="0" builtinId="0"/>
    <cellStyle name="常规 10 2" xfId="2"/>
    <cellStyle name="常规 17" xfId="5"/>
    <cellStyle name="常规 2" xfId="4"/>
    <cellStyle name="常规 20" xfId="3"/>
    <cellStyle name="常规 3" xfId="6"/>
  </cellStyles>
  <dxfs count="0"/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7329;&#29260;&#21697;&#31181;/8&#26376;&#37329;&#29260;/&#38144;&#21806;&#25968;&#25454;&#34920;/8&#26376;&#37329;&#29260;&#38144;&#21806;&#26126;&#32454;&#65288;&#22823;&#31867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Roaming/SogouExplorer/Download/&#26597;&#35810;&#26102;&#38388;&#27573;&#20998;&#38376;&#24215;&#38144;&#21806;&#26126;&#32454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7329;&#29260;&#21697;&#31181;\8&#26376;&#37329;&#29260;\&#26032;&#24314;&#25991;&#20214;&#22841;\&#26597;&#35810;&#26102;&#38388;&#27573;&#20998;&#38376;&#24215;&#38144;&#21806;&#26126;&#32454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/Downloads/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2823;&#20445;&#20581;&#65288;8&#26376;&#37329;&#2926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8&#26376;&#20219;&#21153;&#27719;&#24635;&#34920;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26597;&#35810;&#26102;&#38388;&#27573;&#20998;&#38376;&#24215;&#38144;&#21806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.26-8.31&#22825;&#33014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~1/AppData/Local/Temp/&#26597;&#35810;&#26102;&#38388;&#27573;&#20998;&#38376;&#24215;&#38144;&#21806;&#26126;&#3245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29;&#29260;&#36873;&#26723;/&#26597;&#35810;&#26102;&#38388;&#27573;&#20998;&#38376;&#24215;&#38144;&#21806;&#26126;&#32454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ownloads/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查询零售明细 (2)"/>
      <sheetName val="Sheet1"/>
      <sheetName val="补肾"/>
      <sheetName val="Sheet3"/>
      <sheetName val="莲花+奥肯能"/>
      <sheetName val="Sheet5"/>
      <sheetName val="散列通"/>
      <sheetName val="Sheet8"/>
      <sheetName val="桔贝、金蒿、炎可宁"/>
      <sheetName val="Sheet10"/>
      <sheetName val="铁笛片+苦金片"/>
      <sheetName val="Sheet12"/>
      <sheetName val="康复新液"/>
      <sheetName val="Sheet14"/>
      <sheetName val="藿香"/>
      <sheetName val="Sheet17"/>
      <sheetName val="藏药"/>
      <sheetName val="天胶"/>
      <sheetName val="崔家"/>
      <sheetName val="崔家2"/>
    </sheetNames>
    <sheetDataSet>
      <sheetData sheetId="0"/>
      <sheetData sheetId="1"/>
      <sheetData sheetId="2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1802.26</v>
          </cell>
        </row>
        <row r="3">
          <cell r="F3">
            <v>54</v>
          </cell>
          <cell r="G3">
            <v>2497.8200000000002</v>
          </cell>
        </row>
        <row r="4">
          <cell r="F4">
            <v>56</v>
          </cell>
          <cell r="G4">
            <v>7718.63</v>
          </cell>
        </row>
        <row r="5">
          <cell r="F5">
            <v>307</v>
          </cell>
          <cell r="G5">
            <v>31340.75</v>
          </cell>
        </row>
        <row r="6">
          <cell r="F6">
            <v>308</v>
          </cell>
          <cell r="G6">
            <v>4111.3100000000004</v>
          </cell>
        </row>
        <row r="7">
          <cell r="F7">
            <v>311</v>
          </cell>
          <cell r="G7">
            <v>5112.55</v>
          </cell>
        </row>
        <row r="8">
          <cell r="F8">
            <v>329</v>
          </cell>
          <cell r="G8">
            <v>5009.83</v>
          </cell>
        </row>
        <row r="9">
          <cell r="F9">
            <v>337</v>
          </cell>
          <cell r="G9">
            <v>11287.99</v>
          </cell>
        </row>
        <row r="10">
          <cell r="F10">
            <v>339</v>
          </cell>
          <cell r="G10">
            <v>4630.08</v>
          </cell>
        </row>
        <row r="11">
          <cell r="F11">
            <v>341</v>
          </cell>
          <cell r="G11">
            <v>15608.58</v>
          </cell>
        </row>
        <row r="12">
          <cell r="F12">
            <v>343</v>
          </cell>
          <cell r="G12">
            <v>10369.59</v>
          </cell>
        </row>
        <row r="13">
          <cell r="F13">
            <v>347</v>
          </cell>
          <cell r="G13">
            <v>417</v>
          </cell>
        </row>
        <row r="14">
          <cell r="F14">
            <v>349</v>
          </cell>
          <cell r="G14">
            <v>2437.3000000000002</v>
          </cell>
        </row>
        <row r="15">
          <cell r="F15">
            <v>351</v>
          </cell>
          <cell r="G15">
            <v>3382.98</v>
          </cell>
        </row>
        <row r="16">
          <cell r="F16">
            <v>355</v>
          </cell>
          <cell r="G16">
            <v>4495.74</v>
          </cell>
        </row>
        <row r="17">
          <cell r="F17">
            <v>357</v>
          </cell>
          <cell r="G17">
            <v>2215.81</v>
          </cell>
        </row>
        <row r="18">
          <cell r="F18">
            <v>359</v>
          </cell>
          <cell r="G18">
            <v>2235</v>
          </cell>
        </row>
        <row r="19">
          <cell r="F19">
            <v>365</v>
          </cell>
          <cell r="G19">
            <v>1795.48</v>
          </cell>
        </row>
        <row r="20">
          <cell r="F20">
            <v>367</v>
          </cell>
          <cell r="G20">
            <v>642.51</v>
          </cell>
        </row>
        <row r="21">
          <cell r="F21">
            <v>371</v>
          </cell>
          <cell r="G21">
            <v>401</v>
          </cell>
        </row>
        <row r="22">
          <cell r="F22">
            <v>373</v>
          </cell>
          <cell r="G22">
            <v>1268.3399999999999</v>
          </cell>
        </row>
        <row r="23">
          <cell r="F23">
            <v>377</v>
          </cell>
          <cell r="G23">
            <v>2332.4</v>
          </cell>
        </row>
        <row r="24">
          <cell r="F24">
            <v>379</v>
          </cell>
          <cell r="G24">
            <v>2629.34</v>
          </cell>
        </row>
        <row r="25">
          <cell r="F25">
            <v>385</v>
          </cell>
          <cell r="G25">
            <v>2555.4299999999998</v>
          </cell>
        </row>
        <row r="26">
          <cell r="F26">
            <v>387</v>
          </cell>
          <cell r="G26">
            <v>4971.17</v>
          </cell>
        </row>
        <row r="27">
          <cell r="F27">
            <v>391</v>
          </cell>
          <cell r="G27">
            <v>4261.3599999999997</v>
          </cell>
        </row>
        <row r="28">
          <cell r="F28">
            <v>399</v>
          </cell>
          <cell r="G28">
            <v>3419.65</v>
          </cell>
        </row>
        <row r="29">
          <cell r="F29">
            <v>511</v>
          </cell>
          <cell r="G29">
            <v>1166.71</v>
          </cell>
        </row>
        <row r="30">
          <cell r="F30">
            <v>513</v>
          </cell>
          <cell r="G30">
            <v>3775.38</v>
          </cell>
        </row>
        <row r="31">
          <cell r="F31">
            <v>514</v>
          </cell>
          <cell r="G31">
            <v>2908.22</v>
          </cell>
        </row>
        <row r="32">
          <cell r="F32">
            <v>515</v>
          </cell>
          <cell r="G32">
            <v>1349.42</v>
          </cell>
        </row>
        <row r="33">
          <cell r="F33">
            <v>517</v>
          </cell>
          <cell r="G33">
            <v>4280.76</v>
          </cell>
        </row>
        <row r="34">
          <cell r="F34">
            <v>539</v>
          </cell>
          <cell r="G34">
            <v>3016.42</v>
          </cell>
        </row>
        <row r="35">
          <cell r="F35">
            <v>541</v>
          </cell>
          <cell r="G35">
            <v>1222.5</v>
          </cell>
        </row>
        <row r="36">
          <cell r="F36">
            <v>545</v>
          </cell>
          <cell r="G36">
            <v>2645.78</v>
          </cell>
        </row>
        <row r="37">
          <cell r="F37">
            <v>546</v>
          </cell>
          <cell r="G37">
            <v>3936</v>
          </cell>
        </row>
        <row r="38">
          <cell r="F38">
            <v>549</v>
          </cell>
          <cell r="G38">
            <v>3054.96</v>
          </cell>
        </row>
        <row r="39">
          <cell r="F39">
            <v>570</v>
          </cell>
          <cell r="G39">
            <v>2085.54</v>
          </cell>
        </row>
        <row r="40">
          <cell r="F40">
            <v>571</v>
          </cell>
          <cell r="G40">
            <v>2460.63</v>
          </cell>
        </row>
        <row r="41">
          <cell r="F41">
            <v>572</v>
          </cell>
          <cell r="G41">
            <v>3400.62</v>
          </cell>
        </row>
        <row r="42">
          <cell r="F42">
            <v>573</v>
          </cell>
          <cell r="G42">
            <v>1575.32</v>
          </cell>
        </row>
        <row r="43">
          <cell r="F43">
            <v>578</v>
          </cell>
          <cell r="G43">
            <v>2825.88</v>
          </cell>
        </row>
        <row r="44">
          <cell r="F44">
            <v>581</v>
          </cell>
          <cell r="G44">
            <v>2872.97</v>
          </cell>
        </row>
        <row r="45">
          <cell r="F45">
            <v>582</v>
          </cell>
          <cell r="G45">
            <v>4141.13</v>
          </cell>
        </row>
        <row r="46">
          <cell r="F46">
            <v>584</v>
          </cell>
          <cell r="G46">
            <v>1865.08</v>
          </cell>
        </row>
        <row r="47">
          <cell r="F47">
            <v>585</v>
          </cell>
          <cell r="G47">
            <v>3686.49</v>
          </cell>
        </row>
        <row r="48">
          <cell r="F48">
            <v>587</v>
          </cell>
          <cell r="G48">
            <v>2783.98</v>
          </cell>
        </row>
        <row r="49">
          <cell r="F49">
            <v>591</v>
          </cell>
          <cell r="G49">
            <v>2255.1999999999998</v>
          </cell>
        </row>
        <row r="50">
          <cell r="F50">
            <v>594</v>
          </cell>
          <cell r="G50">
            <v>3033.31</v>
          </cell>
        </row>
        <row r="51">
          <cell r="F51">
            <v>598</v>
          </cell>
          <cell r="G51">
            <v>2245.48</v>
          </cell>
        </row>
        <row r="52">
          <cell r="F52">
            <v>704</v>
          </cell>
          <cell r="G52">
            <v>3319.13</v>
          </cell>
        </row>
        <row r="53">
          <cell r="F53">
            <v>706</v>
          </cell>
          <cell r="G53">
            <v>2384.17</v>
          </cell>
        </row>
        <row r="54">
          <cell r="F54">
            <v>707</v>
          </cell>
          <cell r="G54">
            <v>2368.41</v>
          </cell>
        </row>
        <row r="55">
          <cell r="F55">
            <v>709</v>
          </cell>
          <cell r="G55">
            <v>4311.8999999999996</v>
          </cell>
        </row>
        <row r="56">
          <cell r="F56">
            <v>710</v>
          </cell>
          <cell r="G56">
            <v>1417.6</v>
          </cell>
        </row>
        <row r="57">
          <cell r="F57">
            <v>712</v>
          </cell>
          <cell r="G57">
            <v>5449.46</v>
          </cell>
        </row>
        <row r="58">
          <cell r="F58">
            <v>713</v>
          </cell>
          <cell r="G58">
            <v>1437.54</v>
          </cell>
        </row>
        <row r="59">
          <cell r="F59">
            <v>716</v>
          </cell>
          <cell r="G59">
            <v>2012.29</v>
          </cell>
        </row>
        <row r="60">
          <cell r="F60">
            <v>717</v>
          </cell>
          <cell r="G60">
            <v>1336.01</v>
          </cell>
        </row>
        <row r="61">
          <cell r="F61">
            <v>718</v>
          </cell>
          <cell r="G61">
            <v>1589.5</v>
          </cell>
        </row>
        <row r="62">
          <cell r="F62">
            <v>720</v>
          </cell>
          <cell r="G62">
            <v>2392.56</v>
          </cell>
        </row>
        <row r="63">
          <cell r="F63">
            <v>721</v>
          </cell>
          <cell r="G63">
            <v>1346.96</v>
          </cell>
        </row>
        <row r="64">
          <cell r="F64">
            <v>723</v>
          </cell>
          <cell r="G64">
            <v>428.4</v>
          </cell>
        </row>
        <row r="65">
          <cell r="F65">
            <v>724</v>
          </cell>
          <cell r="G65">
            <v>1351.62</v>
          </cell>
        </row>
        <row r="66">
          <cell r="F66">
            <v>726</v>
          </cell>
          <cell r="G66">
            <v>4514.26</v>
          </cell>
        </row>
        <row r="67">
          <cell r="F67">
            <v>727</v>
          </cell>
          <cell r="G67">
            <v>2448.0500000000002</v>
          </cell>
        </row>
        <row r="68">
          <cell r="F68">
            <v>730</v>
          </cell>
          <cell r="G68">
            <v>1709.43</v>
          </cell>
        </row>
        <row r="69">
          <cell r="F69">
            <v>732</v>
          </cell>
          <cell r="G69">
            <v>1243.5</v>
          </cell>
        </row>
        <row r="70">
          <cell r="F70">
            <v>733</v>
          </cell>
          <cell r="G70">
            <v>1064.92</v>
          </cell>
        </row>
        <row r="71">
          <cell r="F71">
            <v>737</v>
          </cell>
          <cell r="G71">
            <v>1986.72</v>
          </cell>
        </row>
        <row r="72">
          <cell r="F72">
            <v>738</v>
          </cell>
          <cell r="G72">
            <v>2336.62</v>
          </cell>
        </row>
        <row r="73">
          <cell r="F73">
            <v>740</v>
          </cell>
          <cell r="G73">
            <v>2088.35</v>
          </cell>
        </row>
        <row r="74">
          <cell r="F74">
            <v>741</v>
          </cell>
          <cell r="G74">
            <v>587.62</v>
          </cell>
        </row>
        <row r="75">
          <cell r="F75">
            <v>742</v>
          </cell>
          <cell r="G75">
            <v>2676.55</v>
          </cell>
        </row>
        <row r="76">
          <cell r="F76">
            <v>743</v>
          </cell>
          <cell r="G76">
            <v>1088.4000000000001</v>
          </cell>
        </row>
        <row r="77">
          <cell r="F77">
            <v>744</v>
          </cell>
          <cell r="G77">
            <v>1624.54</v>
          </cell>
        </row>
        <row r="78">
          <cell r="F78">
            <v>745</v>
          </cell>
          <cell r="G78">
            <v>2127.0300000000002</v>
          </cell>
        </row>
        <row r="79">
          <cell r="F79">
            <v>746</v>
          </cell>
          <cell r="G79">
            <v>1456.74</v>
          </cell>
        </row>
        <row r="80">
          <cell r="F80">
            <v>747</v>
          </cell>
          <cell r="G80">
            <v>1773.62</v>
          </cell>
        </row>
        <row r="81">
          <cell r="F81">
            <v>748</v>
          </cell>
          <cell r="G81">
            <v>1271.44</v>
          </cell>
        </row>
        <row r="82">
          <cell r="F82">
            <v>750</v>
          </cell>
          <cell r="G82">
            <v>5155.76</v>
          </cell>
        </row>
        <row r="83">
          <cell r="F83">
            <v>752</v>
          </cell>
          <cell r="G83">
            <v>1453.95</v>
          </cell>
        </row>
        <row r="84">
          <cell r="F84">
            <v>753</v>
          </cell>
          <cell r="G84">
            <v>1109.6300000000001</v>
          </cell>
        </row>
        <row r="85">
          <cell r="F85">
            <v>754</v>
          </cell>
          <cell r="G85">
            <v>1114.44</v>
          </cell>
        </row>
        <row r="86">
          <cell r="F86">
            <v>755</v>
          </cell>
          <cell r="G86">
            <v>155</v>
          </cell>
        </row>
        <row r="87">
          <cell r="F87">
            <v>101453</v>
          </cell>
          <cell r="G87">
            <v>917.5</v>
          </cell>
        </row>
        <row r="88">
          <cell r="F88">
            <v>102478</v>
          </cell>
          <cell r="G88">
            <v>201.24</v>
          </cell>
        </row>
        <row r="89">
          <cell r="F89">
            <v>102479</v>
          </cell>
          <cell r="G89">
            <v>542.30999999999995</v>
          </cell>
        </row>
        <row r="90">
          <cell r="F90">
            <v>102564</v>
          </cell>
          <cell r="G90">
            <v>233.01</v>
          </cell>
        </row>
        <row r="91">
          <cell r="F91">
            <v>102565</v>
          </cell>
          <cell r="G91">
            <v>1314.4</v>
          </cell>
        </row>
        <row r="92">
          <cell r="F92">
            <v>102567</v>
          </cell>
          <cell r="G92">
            <v>1413.43</v>
          </cell>
        </row>
        <row r="93">
          <cell r="F93">
            <v>102934</v>
          </cell>
          <cell r="G93">
            <v>1126.93</v>
          </cell>
        </row>
        <row r="94">
          <cell r="F94">
            <v>102935</v>
          </cell>
          <cell r="G94">
            <v>684.31</v>
          </cell>
        </row>
        <row r="95">
          <cell r="F95">
            <v>103198</v>
          </cell>
          <cell r="G95">
            <v>1520.45</v>
          </cell>
        </row>
        <row r="96">
          <cell r="F96">
            <v>103199</v>
          </cell>
          <cell r="G96">
            <v>946.73</v>
          </cell>
        </row>
        <row r="97">
          <cell r="F97">
            <v>103639</v>
          </cell>
          <cell r="G97">
            <v>638.51</v>
          </cell>
        </row>
        <row r="98">
          <cell r="F98" t="str">
            <v>总计</v>
          </cell>
          <cell r="G98">
            <v>281208.62</v>
          </cell>
        </row>
      </sheetData>
      <sheetData sheetId="3"/>
      <sheetData sheetId="4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44</v>
          </cell>
        </row>
        <row r="3">
          <cell r="G3">
            <v>54</v>
          </cell>
          <cell r="H3">
            <v>52</v>
          </cell>
        </row>
        <row r="4">
          <cell r="G4">
            <v>56</v>
          </cell>
          <cell r="H4">
            <v>20</v>
          </cell>
        </row>
        <row r="5">
          <cell r="G5">
            <v>307</v>
          </cell>
          <cell r="H5">
            <v>441</v>
          </cell>
        </row>
        <row r="6">
          <cell r="G6">
            <v>308</v>
          </cell>
          <cell r="H6">
            <v>71</v>
          </cell>
        </row>
        <row r="7">
          <cell r="G7">
            <v>311</v>
          </cell>
          <cell r="H7">
            <v>14</v>
          </cell>
        </row>
        <row r="8">
          <cell r="G8">
            <v>329</v>
          </cell>
          <cell r="H8">
            <v>25</v>
          </cell>
        </row>
        <row r="9">
          <cell r="G9">
            <v>337</v>
          </cell>
          <cell r="H9">
            <v>216</v>
          </cell>
        </row>
        <row r="10">
          <cell r="G10">
            <v>339</v>
          </cell>
          <cell r="H10">
            <v>19</v>
          </cell>
        </row>
        <row r="11">
          <cell r="G11">
            <v>341</v>
          </cell>
          <cell r="H11">
            <v>27</v>
          </cell>
        </row>
        <row r="12">
          <cell r="G12">
            <v>343</v>
          </cell>
          <cell r="H12">
            <v>107</v>
          </cell>
        </row>
        <row r="13">
          <cell r="G13">
            <v>347</v>
          </cell>
          <cell r="H13">
            <v>85</v>
          </cell>
        </row>
        <row r="14">
          <cell r="G14">
            <v>349</v>
          </cell>
          <cell r="H14">
            <v>100</v>
          </cell>
        </row>
        <row r="15">
          <cell r="G15">
            <v>351</v>
          </cell>
          <cell r="H15">
            <v>42</v>
          </cell>
        </row>
        <row r="16">
          <cell r="G16">
            <v>355</v>
          </cell>
          <cell r="H16">
            <v>54</v>
          </cell>
        </row>
        <row r="17">
          <cell r="G17">
            <v>357</v>
          </cell>
          <cell r="H17">
            <v>46</v>
          </cell>
        </row>
        <row r="18">
          <cell r="G18">
            <v>359</v>
          </cell>
          <cell r="H18">
            <v>95</v>
          </cell>
        </row>
        <row r="19">
          <cell r="G19">
            <v>365</v>
          </cell>
          <cell r="H19">
            <v>63</v>
          </cell>
        </row>
        <row r="20">
          <cell r="G20">
            <v>367</v>
          </cell>
          <cell r="H20">
            <v>43</v>
          </cell>
        </row>
        <row r="21">
          <cell r="G21">
            <v>371</v>
          </cell>
          <cell r="H21">
            <v>26</v>
          </cell>
        </row>
        <row r="22">
          <cell r="G22">
            <v>373</v>
          </cell>
          <cell r="H22">
            <v>60</v>
          </cell>
        </row>
        <row r="23">
          <cell r="G23">
            <v>377</v>
          </cell>
          <cell r="H23">
            <v>83</v>
          </cell>
        </row>
        <row r="24">
          <cell r="G24">
            <v>379</v>
          </cell>
          <cell r="H24">
            <v>57</v>
          </cell>
        </row>
        <row r="25">
          <cell r="G25">
            <v>385</v>
          </cell>
          <cell r="H25">
            <v>23</v>
          </cell>
        </row>
        <row r="26">
          <cell r="G26">
            <v>387</v>
          </cell>
          <cell r="H26">
            <v>91</v>
          </cell>
        </row>
        <row r="27">
          <cell r="G27">
            <v>391</v>
          </cell>
          <cell r="H27">
            <v>86</v>
          </cell>
        </row>
        <row r="28">
          <cell r="G28">
            <v>399</v>
          </cell>
          <cell r="H28">
            <v>93</v>
          </cell>
        </row>
        <row r="29">
          <cell r="G29">
            <v>511</v>
          </cell>
          <cell r="H29">
            <v>71</v>
          </cell>
        </row>
        <row r="30">
          <cell r="G30">
            <v>513</v>
          </cell>
          <cell r="H30">
            <v>53</v>
          </cell>
        </row>
        <row r="31">
          <cell r="G31">
            <v>514</v>
          </cell>
          <cell r="H31">
            <v>78</v>
          </cell>
        </row>
        <row r="32">
          <cell r="G32">
            <v>515</v>
          </cell>
          <cell r="H32">
            <v>38</v>
          </cell>
        </row>
        <row r="33">
          <cell r="G33">
            <v>517</v>
          </cell>
          <cell r="H33">
            <v>97</v>
          </cell>
        </row>
        <row r="34">
          <cell r="G34">
            <v>539</v>
          </cell>
          <cell r="H34">
            <v>32</v>
          </cell>
        </row>
        <row r="35">
          <cell r="G35">
            <v>541</v>
          </cell>
          <cell r="H35">
            <v>164</v>
          </cell>
        </row>
        <row r="36">
          <cell r="G36">
            <v>545</v>
          </cell>
          <cell r="H36">
            <v>19</v>
          </cell>
        </row>
        <row r="37">
          <cell r="G37">
            <v>546</v>
          </cell>
          <cell r="H37">
            <v>119</v>
          </cell>
        </row>
        <row r="38">
          <cell r="G38">
            <v>549</v>
          </cell>
          <cell r="H38">
            <v>19</v>
          </cell>
        </row>
        <row r="39">
          <cell r="G39">
            <v>570</v>
          </cell>
          <cell r="H39">
            <v>35</v>
          </cell>
        </row>
        <row r="40">
          <cell r="G40">
            <v>571</v>
          </cell>
          <cell r="H40">
            <v>197</v>
          </cell>
        </row>
        <row r="41">
          <cell r="G41">
            <v>572</v>
          </cell>
          <cell r="H41">
            <v>46</v>
          </cell>
        </row>
        <row r="42">
          <cell r="G42">
            <v>573</v>
          </cell>
          <cell r="H42">
            <v>62</v>
          </cell>
        </row>
        <row r="43">
          <cell r="G43">
            <v>578</v>
          </cell>
          <cell r="H43">
            <v>88</v>
          </cell>
        </row>
        <row r="44">
          <cell r="G44">
            <v>581</v>
          </cell>
          <cell r="H44">
            <v>88</v>
          </cell>
        </row>
        <row r="45">
          <cell r="G45">
            <v>582</v>
          </cell>
          <cell r="H45">
            <v>91</v>
          </cell>
        </row>
        <row r="46">
          <cell r="G46">
            <v>584</v>
          </cell>
          <cell r="H46">
            <v>31</v>
          </cell>
        </row>
        <row r="47">
          <cell r="G47">
            <v>585</v>
          </cell>
          <cell r="H47">
            <v>75</v>
          </cell>
        </row>
        <row r="48">
          <cell r="G48">
            <v>587</v>
          </cell>
          <cell r="H48">
            <v>39</v>
          </cell>
        </row>
        <row r="49">
          <cell r="G49">
            <v>591</v>
          </cell>
          <cell r="H49">
            <v>37</v>
          </cell>
        </row>
        <row r="50">
          <cell r="G50">
            <v>594</v>
          </cell>
          <cell r="H50">
            <v>18</v>
          </cell>
        </row>
        <row r="51">
          <cell r="G51">
            <v>598</v>
          </cell>
          <cell r="H51">
            <v>88</v>
          </cell>
        </row>
        <row r="52">
          <cell r="G52">
            <v>704</v>
          </cell>
          <cell r="H52">
            <v>16</v>
          </cell>
        </row>
        <row r="53">
          <cell r="G53">
            <v>706</v>
          </cell>
          <cell r="H53">
            <v>3</v>
          </cell>
        </row>
        <row r="54">
          <cell r="G54">
            <v>707</v>
          </cell>
          <cell r="H54">
            <v>98</v>
          </cell>
        </row>
        <row r="55">
          <cell r="G55">
            <v>709</v>
          </cell>
          <cell r="H55">
            <v>91</v>
          </cell>
        </row>
        <row r="56">
          <cell r="G56">
            <v>710</v>
          </cell>
          <cell r="H56">
            <v>27</v>
          </cell>
        </row>
        <row r="57">
          <cell r="G57">
            <v>712</v>
          </cell>
          <cell r="H57">
            <v>111</v>
          </cell>
        </row>
        <row r="58">
          <cell r="G58">
            <v>713</v>
          </cell>
          <cell r="H58">
            <v>6</v>
          </cell>
        </row>
        <row r="59">
          <cell r="G59">
            <v>716</v>
          </cell>
          <cell r="H59">
            <v>18</v>
          </cell>
        </row>
        <row r="60">
          <cell r="G60">
            <v>717</v>
          </cell>
          <cell r="H60">
            <v>23</v>
          </cell>
        </row>
        <row r="61">
          <cell r="G61">
            <v>718</v>
          </cell>
          <cell r="H61">
            <v>19</v>
          </cell>
        </row>
        <row r="62">
          <cell r="G62">
            <v>720</v>
          </cell>
          <cell r="H62">
            <v>21</v>
          </cell>
        </row>
        <row r="63">
          <cell r="G63">
            <v>721</v>
          </cell>
          <cell r="H63">
            <v>65</v>
          </cell>
        </row>
        <row r="64">
          <cell r="G64">
            <v>723</v>
          </cell>
          <cell r="H64">
            <v>22</v>
          </cell>
        </row>
        <row r="65">
          <cell r="G65">
            <v>724</v>
          </cell>
          <cell r="H65">
            <v>125</v>
          </cell>
        </row>
        <row r="66">
          <cell r="G66">
            <v>726</v>
          </cell>
          <cell r="H66">
            <v>91</v>
          </cell>
        </row>
        <row r="67">
          <cell r="G67">
            <v>727</v>
          </cell>
          <cell r="H67">
            <v>67</v>
          </cell>
        </row>
        <row r="68">
          <cell r="G68">
            <v>730</v>
          </cell>
          <cell r="H68">
            <v>39</v>
          </cell>
        </row>
        <row r="69">
          <cell r="G69">
            <v>732</v>
          </cell>
          <cell r="H69">
            <v>36</v>
          </cell>
        </row>
        <row r="70">
          <cell r="G70">
            <v>733</v>
          </cell>
          <cell r="H70">
            <v>28</v>
          </cell>
        </row>
        <row r="71">
          <cell r="G71">
            <v>737</v>
          </cell>
          <cell r="H71">
            <v>93</v>
          </cell>
        </row>
        <row r="72">
          <cell r="G72">
            <v>738</v>
          </cell>
          <cell r="H72">
            <v>32</v>
          </cell>
        </row>
        <row r="73">
          <cell r="G73">
            <v>740</v>
          </cell>
          <cell r="H73">
            <v>27</v>
          </cell>
        </row>
        <row r="74">
          <cell r="G74">
            <v>741</v>
          </cell>
          <cell r="H74">
            <v>30</v>
          </cell>
        </row>
        <row r="75">
          <cell r="G75">
            <v>742</v>
          </cell>
          <cell r="H75">
            <v>64</v>
          </cell>
        </row>
        <row r="76">
          <cell r="G76">
            <v>743</v>
          </cell>
          <cell r="H76">
            <v>46</v>
          </cell>
        </row>
        <row r="77">
          <cell r="G77">
            <v>744</v>
          </cell>
          <cell r="H77">
            <v>75</v>
          </cell>
        </row>
        <row r="78">
          <cell r="G78">
            <v>745</v>
          </cell>
          <cell r="H78">
            <v>56</v>
          </cell>
        </row>
        <row r="79">
          <cell r="G79">
            <v>746</v>
          </cell>
          <cell r="H79">
            <v>49</v>
          </cell>
        </row>
        <row r="80">
          <cell r="G80">
            <v>747</v>
          </cell>
          <cell r="H80">
            <v>13</v>
          </cell>
        </row>
        <row r="81">
          <cell r="G81">
            <v>748</v>
          </cell>
          <cell r="H81">
            <v>33</v>
          </cell>
        </row>
        <row r="82">
          <cell r="G82">
            <v>750</v>
          </cell>
          <cell r="H82">
            <v>220</v>
          </cell>
        </row>
        <row r="83">
          <cell r="G83">
            <v>752</v>
          </cell>
          <cell r="H83">
            <v>21</v>
          </cell>
        </row>
        <row r="84">
          <cell r="G84">
            <v>753</v>
          </cell>
          <cell r="H84">
            <v>18</v>
          </cell>
        </row>
        <row r="85">
          <cell r="G85">
            <v>754</v>
          </cell>
          <cell r="H85">
            <v>83</v>
          </cell>
        </row>
        <row r="86">
          <cell r="G86">
            <v>755</v>
          </cell>
          <cell r="H86">
            <v>12</v>
          </cell>
        </row>
        <row r="87">
          <cell r="G87">
            <v>101453</v>
          </cell>
          <cell r="H87">
            <v>44</v>
          </cell>
        </row>
        <row r="88">
          <cell r="G88">
            <v>102478</v>
          </cell>
          <cell r="H88">
            <v>22</v>
          </cell>
        </row>
        <row r="89">
          <cell r="G89">
            <v>102479</v>
          </cell>
          <cell r="H89">
            <v>35</v>
          </cell>
        </row>
        <row r="90">
          <cell r="G90">
            <v>102564</v>
          </cell>
          <cell r="H90">
            <v>17</v>
          </cell>
        </row>
        <row r="91">
          <cell r="G91">
            <v>102565</v>
          </cell>
          <cell r="H91">
            <v>36</v>
          </cell>
        </row>
        <row r="92">
          <cell r="G92">
            <v>102567</v>
          </cell>
          <cell r="H92">
            <v>8</v>
          </cell>
        </row>
        <row r="93">
          <cell r="G93">
            <v>102934</v>
          </cell>
          <cell r="H93">
            <v>60</v>
          </cell>
        </row>
        <row r="94">
          <cell r="G94">
            <v>102935</v>
          </cell>
          <cell r="H94">
            <v>41</v>
          </cell>
        </row>
        <row r="95">
          <cell r="G95">
            <v>103198</v>
          </cell>
          <cell r="H95">
            <v>32</v>
          </cell>
        </row>
        <row r="96">
          <cell r="G96">
            <v>103199</v>
          </cell>
          <cell r="H96">
            <v>42</v>
          </cell>
        </row>
        <row r="97">
          <cell r="G97">
            <v>103639</v>
          </cell>
          <cell r="H97">
            <v>71</v>
          </cell>
        </row>
        <row r="98">
          <cell r="G98" t="str">
            <v>总计</v>
          </cell>
          <cell r="H98">
            <v>5854</v>
          </cell>
        </row>
      </sheetData>
      <sheetData sheetId="5"/>
      <sheetData sheetId="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5</v>
          </cell>
        </row>
        <row r="3">
          <cell r="E3">
            <v>54</v>
          </cell>
          <cell r="F3">
            <v>3</v>
          </cell>
        </row>
        <row r="4">
          <cell r="E4">
            <v>56</v>
          </cell>
          <cell r="F4">
            <v>3</v>
          </cell>
        </row>
        <row r="5">
          <cell r="E5">
            <v>307</v>
          </cell>
          <cell r="F5">
            <v>64</v>
          </cell>
        </row>
        <row r="6">
          <cell r="E6">
            <v>308</v>
          </cell>
          <cell r="F6">
            <v>16</v>
          </cell>
        </row>
        <row r="7">
          <cell r="E7">
            <v>311</v>
          </cell>
          <cell r="F7">
            <v>4</v>
          </cell>
        </row>
        <row r="8">
          <cell r="E8">
            <v>329</v>
          </cell>
          <cell r="F8">
            <v>15</v>
          </cell>
        </row>
        <row r="9">
          <cell r="E9">
            <v>337</v>
          </cell>
          <cell r="F9">
            <v>32</v>
          </cell>
        </row>
        <row r="10">
          <cell r="E10">
            <v>339</v>
          </cell>
          <cell r="F10">
            <v>8</v>
          </cell>
        </row>
        <row r="11">
          <cell r="E11">
            <v>341</v>
          </cell>
          <cell r="F11">
            <v>4</v>
          </cell>
        </row>
        <row r="12">
          <cell r="E12">
            <v>343</v>
          </cell>
          <cell r="F12">
            <v>20</v>
          </cell>
        </row>
        <row r="13">
          <cell r="E13">
            <v>347</v>
          </cell>
          <cell r="F13">
            <v>7</v>
          </cell>
        </row>
        <row r="14">
          <cell r="E14">
            <v>349</v>
          </cell>
          <cell r="F14">
            <v>36</v>
          </cell>
        </row>
        <row r="15">
          <cell r="E15">
            <v>351</v>
          </cell>
          <cell r="F15">
            <v>5</v>
          </cell>
        </row>
        <row r="16">
          <cell r="E16">
            <v>355</v>
          </cell>
          <cell r="F16">
            <v>18</v>
          </cell>
        </row>
        <row r="17">
          <cell r="E17">
            <v>357</v>
          </cell>
          <cell r="F17">
            <v>8</v>
          </cell>
        </row>
        <row r="18">
          <cell r="E18">
            <v>359</v>
          </cell>
          <cell r="F18">
            <v>19</v>
          </cell>
        </row>
        <row r="19">
          <cell r="E19">
            <v>365</v>
          </cell>
          <cell r="F19">
            <v>24</v>
          </cell>
        </row>
        <row r="20">
          <cell r="E20">
            <v>367</v>
          </cell>
          <cell r="F20">
            <v>11</v>
          </cell>
        </row>
        <row r="21">
          <cell r="E21">
            <v>371</v>
          </cell>
          <cell r="F21">
            <v>9</v>
          </cell>
        </row>
        <row r="22">
          <cell r="E22">
            <v>373</v>
          </cell>
          <cell r="F22">
            <v>15</v>
          </cell>
        </row>
        <row r="23">
          <cell r="E23">
            <v>377</v>
          </cell>
          <cell r="F23">
            <v>25</v>
          </cell>
        </row>
        <row r="24">
          <cell r="E24">
            <v>379</v>
          </cell>
          <cell r="F24">
            <v>10</v>
          </cell>
        </row>
        <row r="25">
          <cell r="E25">
            <v>385</v>
          </cell>
          <cell r="F25">
            <v>7</v>
          </cell>
        </row>
        <row r="26">
          <cell r="E26">
            <v>387</v>
          </cell>
          <cell r="F26">
            <v>30</v>
          </cell>
        </row>
        <row r="27">
          <cell r="E27">
            <v>391</v>
          </cell>
          <cell r="F27">
            <v>17</v>
          </cell>
        </row>
        <row r="28">
          <cell r="E28">
            <v>399</v>
          </cell>
          <cell r="F28">
            <v>11</v>
          </cell>
        </row>
        <row r="29">
          <cell r="E29">
            <v>511</v>
          </cell>
          <cell r="F29">
            <v>18</v>
          </cell>
        </row>
        <row r="30">
          <cell r="E30">
            <v>513</v>
          </cell>
          <cell r="F30">
            <v>22</v>
          </cell>
        </row>
        <row r="31">
          <cell r="E31">
            <v>514</v>
          </cell>
          <cell r="F31">
            <v>13</v>
          </cell>
        </row>
        <row r="32">
          <cell r="E32">
            <v>515</v>
          </cell>
          <cell r="F32">
            <v>16</v>
          </cell>
        </row>
        <row r="33">
          <cell r="E33">
            <v>517</v>
          </cell>
          <cell r="F33">
            <v>20</v>
          </cell>
        </row>
        <row r="34">
          <cell r="E34">
            <v>539</v>
          </cell>
          <cell r="F34">
            <v>3</v>
          </cell>
        </row>
        <row r="35">
          <cell r="E35">
            <v>541</v>
          </cell>
          <cell r="F35">
            <v>14</v>
          </cell>
        </row>
        <row r="36">
          <cell r="E36">
            <v>545</v>
          </cell>
          <cell r="F36">
            <v>5</v>
          </cell>
        </row>
        <row r="37">
          <cell r="E37">
            <v>546</v>
          </cell>
          <cell r="F37">
            <v>33</v>
          </cell>
        </row>
        <row r="38">
          <cell r="E38">
            <v>549</v>
          </cell>
          <cell r="F38">
            <v>3</v>
          </cell>
        </row>
        <row r="39">
          <cell r="E39">
            <v>570</v>
          </cell>
          <cell r="F39">
            <v>16</v>
          </cell>
        </row>
        <row r="40">
          <cell r="E40">
            <v>571</v>
          </cell>
          <cell r="F40">
            <v>36</v>
          </cell>
        </row>
        <row r="41">
          <cell r="E41">
            <v>572</v>
          </cell>
          <cell r="F41">
            <v>11</v>
          </cell>
        </row>
        <row r="42">
          <cell r="E42">
            <v>573</v>
          </cell>
          <cell r="F42">
            <v>15</v>
          </cell>
        </row>
        <row r="43">
          <cell r="E43">
            <v>578</v>
          </cell>
          <cell r="F43">
            <v>16</v>
          </cell>
        </row>
        <row r="44">
          <cell r="E44">
            <v>581</v>
          </cell>
          <cell r="F44">
            <v>34</v>
          </cell>
        </row>
        <row r="45">
          <cell r="E45">
            <v>582</v>
          </cell>
          <cell r="F45">
            <v>28</v>
          </cell>
        </row>
        <row r="46">
          <cell r="E46">
            <v>584</v>
          </cell>
          <cell r="F46">
            <v>4</v>
          </cell>
        </row>
        <row r="47">
          <cell r="E47">
            <v>585</v>
          </cell>
          <cell r="F47">
            <v>39</v>
          </cell>
        </row>
        <row r="48">
          <cell r="E48">
            <v>587</v>
          </cell>
          <cell r="F48">
            <v>9</v>
          </cell>
        </row>
        <row r="49">
          <cell r="E49">
            <v>591</v>
          </cell>
          <cell r="F49">
            <v>8</v>
          </cell>
        </row>
        <row r="50">
          <cell r="E50">
            <v>594</v>
          </cell>
          <cell r="F50">
            <v>3</v>
          </cell>
        </row>
        <row r="51">
          <cell r="E51">
            <v>598</v>
          </cell>
          <cell r="F51">
            <v>25</v>
          </cell>
        </row>
        <row r="52">
          <cell r="E52">
            <v>704</v>
          </cell>
          <cell r="F52">
            <v>6</v>
          </cell>
        </row>
        <row r="53">
          <cell r="E53">
            <v>706</v>
          </cell>
          <cell r="F53">
            <v>4</v>
          </cell>
        </row>
        <row r="54">
          <cell r="E54">
            <v>707</v>
          </cell>
          <cell r="F54">
            <v>27</v>
          </cell>
        </row>
        <row r="55">
          <cell r="E55">
            <v>709</v>
          </cell>
          <cell r="F55">
            <v>18</v>
          </cell>
        </row>
        <row r="56">
          <cell r="E56">
            <v>710</v>
          </cell>
          <cell r="F56">
            <v>6</v>
          </cell>
        </row>
        <row r="57">
          <cell r="E57">
            <v>712</v>
          </cell>
          <cell r="F57">
            <v>55</v>
          </cell>
        </row>
        <row r="58">
          <cell r="E58">
            <v>713</v>
          </cell>
          <cell r="F58">
            <v>3</v>
          </cell>
        </row>
        <row r="59">
          <cell r="E59">
            <v>716</v>
          </cell>
          <cell r="F59">
            <v>5</v>
          </cell>
        </row>
        <row r="60">
          <cell r="E60">
            <v>717</v>
          </cell>
          <cell r="F60">
            <v>5</v>
          </cell>
        </row>
        <row r="61">
          <cell r="E61">
            <v>718</v>
          </cell>
          <cell r="F61">
            <v>3</v>
          </cell>
        </row>
        <row r="62">
          <cell r="E62">
            <v>720</v>
          </cell>
          <cell r="F62">
            <v>4</v>
          </cell>
        </row>
        <row r="63">
          <cell r="E63">
            <v>721</v>
          </cell>
          <cell r="F63">
            <v>11</v>
          </cell>
        </row>
        <row r="64">
          <cell r="E64">
            <v>723</v>
          </cell>
          <cell r="F64">
            <v>13</v>
          </cell>
        </row>
        <row r="65">
          <cell r="E65">
            <v>724</v>
          </cell>
          <cell r="F65">
            <v>26</v>
          </cell>
        </row>
        <row r="66">
          <cell r="E66">
            <v>726</v>
          </cell>
          <cell r="F66">
            <v>44</v>
          </cell>
        </row>
        <row r="67">
          <cell r="E67">
            <v>727</v>
          </cell>
          <cell r="F67">
            <v>8</v>
          </cell>
        </row>
        <row r="68">
          <cell r="E68">
            <v>730</v>
          </cell>
          <cell r="F68">
            <v>13</v>
          </cell>
        </row>
        <row r="69">
          <cell r="E69">
            <v>732</v>
          </cell>
          <cell r="F69">
            <v>8</v>
          </cell>
        </row>
        <row r="70">
          <cell r="E70">
            <v>733</v>
          </cell>
          <cell r="F70">
            <v>4</v>
          </cell>
        </row>
        <row r="71">
          <cell r="E71">
            <v>737</v>
          </cell>
          <cell r="F71">
            <v>21</v>
          </cell>
        </row>
        <row r="72">
          <cell r="E72">
            <v>738</v>
          </cell>
          <cell r="F72">
            <v>8</v>
          </cell>
        </row>
        <row r="73">
          <cell r="E73">
            <v>740</v>
          </cell>
          <cell r="F73">
            <v>10</v>
          </cell>
        </row>
        <row r="74">
          <cell r="E74">
            <v>741</v>
          </cell>
          <cell r="F74">
            <v>8</v>
          </cell>
        </row>
        <row r="75">
          <cell r="E75">
            <v>742</v>
          </cell>
          <cell r="F75">
            <v>13</v>
          </cell>
        </row>
        <row r="76">
          <cell r="E76">
            <v>743</v>
          </cell>
          <cell r="F76">
            <v>6</v>
          </cell>
        </row>
        <row r="77">
          <cell r="E77">
            <v>744</v>
          </cell>
          <cell r="F77">
            <v>15</v>
          </cell>
        </row>
        <row r="78">
          <cell r="E78">
            <v>745</v>
          </cell>
          <cell r="F78">
            <v>15</v>
          </cell>
        </row>
        <row r="79">
          <cell r="E79">
            <v>746</v>
          </cell>
          <cell r="F79">
            <v>5</v>
          </cell>
        </row>
        <row r="80">
          <cell r="E80">
            <v>747</v>
          </cell>
          <cell r="F80">
            <v>5</v>
          </cell>
        </row>
        <row r="81">
          <cell r="E81">
            <v>748</v>
          </cell>
          <cell r="F81">
            <v>8</v>
          </cell>
        </row>
        <row r="82">
          <cell r="E82">
            <v>750</v>
          </cell>
          <cell r="F82">
            <v>52</v>
          </cell>
        </row>
        <row r="83">
          <cell r="E83">
            <v>752</v>
          </cell>
          <cell r="F83">
            <v>10</v>
          </cell>
        </row>
        <row r="84">
          <cell r="E84">
            <v>753</v>
          </cell>
          <cell r="F84">
            <v>6</v>
          </cell>
        </row>
        <row r="85">
          <cell r="E85">
            <v>754</v>
          </cell>
          <cell r="F85">
            <v>9</v>
          </cell>
        </row>
        <row r="86">
          <cell r="E86">
            <v>101453</v>
          </cell>
          <cell r="F86">
            <v>8</v>
          </cell>
        </row>
        <row r="87">
          <cell r="E87">
            <v>102478</v>
          </cell>
          <cell r="F87">
            <v>5</v>
          </cell>
        </row>
        <row r="88">
          <cell r="E88">
            <v>102479</v>
          </cell>
          <cell r="F88">
            <v>8</v>
          </cell>
        </row>
        <row r="89">
          <cell r="E89">
            <v>102564</v>
          </cell>
          <cell r="F89">
            <v>4</v>
          </cell>
        </row>
        <row r="90">
          <cell r="E90">
            <v>102565</v>
          </cell>
          <cell r="F90">
            <v>25</v>
          </cell>
        </row>
        <row r="91">
          <cell r="E91">
            <v>102567</v>
          </cell>
          <cell r="F91">
            <v>1</v>
          </cell>
        </row>
        <row r="92">
          <cell r="E92">
            <v>102934</v>
          </cell>
          <cell r="F92">
            <v>18</v>
          </cell>
        </row>
        <row r="93">
          <cell r="E93">
            <v>102935</v>
          </cell>
          <cell r="F93">
            <v>15</v>
          </cell>
        </row>
        <row r="94">
          <cell r="E94">
            <v>103198</v>
          </cell>
          <cell r="F94">
            <v>12</v>
          </cell>
        </row>
        <row r="95">
          <cell r="E95">
            <v>103199</v>
          </cell>
          <cell r="F95">
            <v>22</v>
          </cell>
        </row>
        <row r="96">
          <cell r="E96">
            <v>103639</v>
          </cell>
          <cell r="F96">
            <v>10</v>
          </cell>
        </row>
        <row r="97">
          <cell r="E97" t="str">
            <v>总计</v>
          </cell>
          <cell r="F97">
            <v>1399</v>
          </cell>
        </row>
      </sheetData>
      <sheetData sheetId="7"/>
      <sheetData sheetId="8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42</v>
          </cell>
        </row>
        <row r="3">
          <cell r="G3">
            <v>54</v>
          </cell>
          <cell r="H3">
            <v>35</v>
          </cell>
        </row>
        <row r="4">
          <cell r="G4">
            <v>56</v>
          </cell>
          <cell r="H4">
            <v>47</v>
          </cell>
        </row>
        <row r="5">
          <cell r="G5">
            <v>307</v>
          </cell>
          <cell r="H5">
            <v>287</v>
          </cell>
        </row>
        <row r="6">
          <cell r="G6">
            <v>308</v>
          </cell>
          <cell r="H6">
            <v>8</v>
          </cell>
        </row>
        <row r="7">
          <cell r="G7">
            <v>329</v>
          </cell>
          <cell r="H7">
            <v>20</v>
          </cell>
        </row>
        <row r="8">
          <cell r="G8">
            <v>337</v>
          </cell>
          <cell r="H8">
            <v>554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176</v>
          </cell>
        </row>
        <row r="11">
          <cell r="G11">
            <v>343</v>
          </cell>
          <cell r="H11">
            <v>79</v>
          </cell>
        </row>
        <row r="12">
          <cell r="G12">
            <v>347</v>
          </cell>
          <cell r="H12">
            <v>30</v>
          </cell>
        </row>
        <row r="13">
          <cell r="G13">
            <v>349</v>
          </cell>
          <cell r="H13">
            <v>328</v>
          </cell>
        </row>
        <row r="14">
          <cell r="G14">
            <v>351</v>
          </cell>
          <cell r="H14">
            <v>13</v>
          </cell>
        </row>
        <row r="15">
          <cell r="G15">
            <v>355</v>
          </cell>
          <cell r="H15">
            <v>80</v>
          </cell>
        </row>
        <row r="16">
          <cell r="G16">
            <v>357</v>
          </cell>
          <cell r="H16">
            <v>28</v>
          </cell>
        </row>
        <row r="17">
          <cell r="G17">
            <v>359</v>
          </cell>
          <cell r="H17">
            <v>23</v>
          </cell>
        </row>
        <row r="18">
          <cell r="G18">
            <v>365</v>
          </cell>
          <cell r="H18">
            <v>43</v>
          </cell>
        </row>
        <row r="19">
          <cell r="G19">
            <v>367</v>
          </cell>
          <cell r="H19">
            <v>46</v>
          </cell>
        </row>
        <row r="20">
          <cell r="G20">
            <v>371</v>
          </cell>
          <cell r="H20">
            <v>6</v>
          </cell>
        </row>
        <row r="21">
          <cell r="G21">
            <v>373</v>
          </cell>
          <cell r="H21">
            <v>55</v>
          </cell>
        </row>
        <row r="22">
          <cell r="G22">
            <v>377</v>
          </cell>
          <cell r="H22">
            <v>28</v>
          </cell>
        </row>
        <row r="23">
          <cell r="G23">
            <v>379</v>
          </cell>
          <cell r="H23">
            <v>38</v>
          </cell>
        </row>
        <row r="24">
          <cell r="G24">
            <v>385</v>
          </cell>
          <cell r="H24">
            <v>24</v>
          </cell>
        </row>
        <row r="25">
          <cell r="G25">
            <v>387</v>
          </cell>
          <cell r="H25">
            <v>51</v>
          </cell>
        </row>
        <row r="26">
          <cell r="G26">
            <v>391</v>
          </cell>
          <cell r="H26">
            <v>192</v>
          </cell>
        </row>
        <row r="27">
          <cell r="G27">
            <v>399</v>
          </cell>
          <cell r="H27">
            <v>84</v>
          </cell>
        </row>
        <row r="28">
          <cell r="G28">
            <v>511</v>
          </cell>
          <cell r="H28">
            <v>38</v>
          </cell>
        </row>
        <row r="29">
          <cell r="G29">
            <v>513</v>
          </cell>
          <cell r="H29">
            <v>46</v>
          </cell>
        </row>
        <row r="30">
          <cell r="G30">
            <v>514</v>
          </cell>
          <cell r="H30">
            <v>97</v>
          </cell>
        </row>
        <row r="31">
          <cell r="G31">
            <v>515</v>
          </cell>
          <cell r="H31">
            <v>21</v>
          </cell>
        </row>
        <row r="32">
          <cell r="G32">
            <v>517</v>
          </cell>
          <cell r="H32">
            <v>42</v>
          </cell>
        </row>
        <row r="33">
          <cell r="G33">
            <v>539</v>
          </cell>
          <cell r="H33">
            <v>7</v>
          </cell>
        </row>
        <row r="34">
          <cell r="G34">
            <v>541</v>
          </cell>
          <cell r="H34">
            <v>181</v>
          </cell>
        </row>
        <row r="35">
          <cell r="G35">
            <v>545</v>
          </cell>
          <cell r="H35">
            <v>37</v>
          </cell>
        </row>
        <row r="36">
          <cell r="G36">
            <v>546</v>
          </cell>
          <cell r="H36">
            <v>287</v>
          </cell>
        </row>
        <row r="37">
          <cell r="G37">
            <v>549</v>
          </cell>
          <cell r="H37">
            <v>6</v>
          </cell>
        </row>
        <row r="38">
          <cell r="G38">
            <v>570</v>
          </cell>
          <cell r="H38">
            <v>15</v>
          </cell>
        </row>
        <row r="39">
          <cell r="G39">
            <v>571</v>
          </cell>
          <cell r="H39">
            <v>92</v>
          </cell>
        </row>
        <row r="40">
          <cell r="G40">
            <v>572</v>
          </cell>
          <cell r="H40">
            <v>41</v>
          </cell>
        </row>
        <row r="41">
          <cell r="G41">
            <v>573</v>
          </cell>
          <cell r="H41">
            <v>26</v>
          </cell>
        </row>
        <row r="42">
          <cell r="G42">
            <v>578</v>
          </cell>
          <cell r="H42">
            <v>69</v>
          </cell>
        </row>
        <row r="43">
          <cell r="G43">
            <v>581</v>
          </cell>
          <cell r="H43">
            <v>114</v>
          </cell>
        </row>
        <row r="44">
          <cell r="G44">
            <v>582</v>
          </cell>
          <cell r="H44">
            <v>39</v>
          </cell>
        </row>
        <row r="45">
          <cell r="G45">
            <v>584</v>
          </cell>
          <cell r="H45">
            <v>26</v>
          </cell>
        </row>
        <row r="46">
          <cell r="G46">
            <v>585</v>
          </cell>
          <cell r="H46">
            <v>110</v>
          </cell>
        </row>
        <row r="47">
          <cell r="G47">
            <v>587</v>
          </cell>
          <cell r="H47">
            <v>13</v>
          </cell>
        </row>
        <row r="48">
          <cell r="G48">
            <v>591</v>
          </cell>
          <cell r="H48">
            <v>85</v>
          </cell>
        </row>
        <row r="49">
          <cell r="G49">
            <v>594</v>
          </cell>
          <cell r="H49">
            <v>9</v>
          </cell>
        </row>
        <row r="50">
          <cell r="G50">
            <v>598</v>
          </cell>
          <cell r="H50">
            <v>80</v>
          </cell>
        </row>
        <row r="51">
          <cell r="G51">
            <v>704</v>
          </cell>
          <cell r="H51">
            <v>25</v>
          </cell>
        </row>
        <row r="52">
          <cell r="G52">
            <v>706</v>
          </cell>
          <cell r="H52">
            <v>4</v>
          </cell>
        </row>
        <row r="53">
          <cell r="G53">
            <v>707</v>
          </cell>
          <cell r="H53">
            <v>153</v>
          </cell>
        </row>
        <row r="54">
          <cell r="G54">
            <v>709</v>
          </cell>
          <cell r="H54">
            <v>17</v>
          </cell>
        </row>
        <row r="55">
          <cell r="G55">
            <v>710</v>
          </cell>
          <cell r="H55">
            <v>9</v>
          </cell>
        </row>
        <row r="56">
          <cell r="G56">
            <v>712</v>
          </cell>
          <cell r="H56">
            <v>312</v>
          </cell>
        </row>
        <row r="57">
          <cell r="G57">
            <v>713</v>
          </cell>
          <cell r="H57">
            <v>5</v>
          </cell>
        </row>
        <row r="58">
          <cell r="G58">
            <v>716</v>
          </cell>
          <cell r="H58">
            <v>1</v>
          </cell>
        </row>
        <row r="59">
          <cell r="G59">
            <v>717</v>
          </cell>
          <cell r="H59">
            <v>26</v>
          </cell>
        </row>
        <row r="60">
          <cell r="G60">
            <v>718</v>
          </cell>
          <cell r="H60">
            <v>5</v>
          </cell>
        </row>
        <row r="61">
          <cell r="G61">
            <v>720</v>
          </cell>
          <cell r="H61">
            <v>41</v>
          </cell>
        </row>
        <row r="62">
          <cell r="G62">
            <v>721</v>
          </cell>
          <cell r="H62">
            <v>105</v>
          </cell>
        </row>
        <row r="63">
          <cell r="G63">
            <v>723</v>
          </cell>
          <cell r="H63">
            <v>15</v>
          </cell>
        </row>
        <row r="64">
          <cell r="G64">
            <v>724</v>
          </cell>
          <cell r="H64">
            <v>37</v>
          </cell>
        </row>
        <row r="65">
          <cell r="G65">
            <v>726</v>
          </cell>
          <cell r="H65">
            <v>52</v>
          </cell>
        </row>
        <row r="66">
          <cell r="G66">
            <v>727</v>
          </cell>
          <cell r="H66">
            <v>25</v>
          </cell>
        </row>
        <row r="67">
          <cell r="G67">
            <v>730</v>
          </cell>
          <cell r="H67">
            <v>29</v>
          </cell>
        </row>
        <row r="68">
          <cell r="G68">
            <v>732</v>
          </cell>
          <cell r="H68">
            <v>17</v>
          </cell>
        </row>
        <row r="69">
          <cell r="G69">
            <v>737</v>
          </cell>
          <cell r="H69">
            <v>111</v>
          </cell>
        </row>
        <row r="70">
          <cell r="G70">
            <v>738</v>
          </cell>
          <cell r="H70">
            <v>15</v>
          </cell>
        </row>
        <row r="71">
          <cell r="G71">
            <v>740</v>
          </cell>
          <cell r="H71">
            <v>31</v>
          </cell>
        </row>
        <row r="72">
          <cell r="G72">
            <v>741</v>
          </cell>
          <cell r="H72">
            <v>18</v>
          </cell>
        </row>
        <row r="73">
          <cell r="G73">
            <v>742</v>
          </cell>
          <cell r="H73">
            <v>100</v>
          </cell>
        </row>
        <row r="74">
          <cell r="G74">
            <v>743</v>
          </cell>
          <cell r="H74">
            <v>35</v>
          </cell>
        </row>
        <row r="75">
          <cell r="G75">
            <v>744</v>
          </cell>
          <cell r="H75">
            <v>44</v>
          </cell>
        </row>
        <row r="76">
          <cell r="G76">
            <v>745</v>
          </cell>
          <cell r="H76">
            <v>30</v>
          </cell>
        </row>
        <row r="77">
          <cell r="G77">
            <v>746</v>
          </cell>
          <cell r="H77">
            <v>32</v>
          </cell>
        </row>
        <row r="78">
          <cell r="G78">
            <v>747</v>
          </cell>
          <cell r="H78">
            <v>12</v>
          </cell>
        </row>
        <row r="79">
          <cell r="G79">
            <v>748</v>
          </cell>
          <cell r="H79">
            <v>14</v>
          </cell>
        </row>
        <row r="80">
          <cell r="G80">
            <v>750</v>
          </cell>
          <cell r="H80">
            <v>182</v>
          </cell>
        </row>
        <row r="81">
          <cell r="G81">
            <v>752</v>
          </cell>
          <cell r="H81">
            <v>23</v>
          </cell>
        </row>
        <row r="82">
          <cell r="G82">
            <v>753</v>
          </cell>
          <cell r="H82">
            <v>10</v>
          </cell>
        </row>
        <row r="83">
          <cell r="G83">
            <v>754</v>
          </cell>
          <cell r="H83">
            <v>63</v>
          </cell>
        </row>
        <row r="84">
          <cell r="G84">
            <v>755</v>
          </cell>
          <cell r="H84">
            <v>1</v>
          </cell>
        </row>
        <row r="85">
          <cell r="G85">
            <v>101453</v>
          </cell>
          <cell r="H85">
            <v>51</v>
          </cell>
        </row>
        <row r="86">
          <cell r="G86">
            <v>102478</v>
          </cell>
          <cell r="H86">
            <v>7</v>
          </cell>
        </row>
        <row r="87">
          <cell r="G87">
            <v>102479</v>
          </cell>
          <cell r="H87">
            <v>11</v>
          </cell>
        </row>
        <row r="88">
          <cell r="G88">
            <v>102564</v>
          </cell>
          <cell r="H88">
            <v>30</v>
          </cell>
        </row>
        <row r="89">
          <cell r="G89">
            <v>102565</v>
          </cell>
          <cell r="H89">
            <v>55</v>
          </cell>
        </row>
        <row r="90">
          <cell r="G90">
            <v>102567</v>
          </cell>
          <cell r="H90">
            <v>8</v>
          </cell>
        </row>
        <row r="91">
          <cell r="G91">
            <v>102934</v>
          </cell>
          <cell r="H91">
            <v>66</v>
          </cell>
        </row>
        <row r="92">
          <cell r="G92">
            <v>102935</v>
          </cell>
          <cell r="H92">
            <v>14</v>
          </cell>
        </row>
        <row r="93">
          <cell r="G93">
            <v>103198</v>
          </cell>
          <cell r="H93">
            <v>49</v>
          </cell>
        </row>
        <row r="94">
          <cell r="G94">
            <v>103199</v>
          </cell>
          <cell r="H94">
            <v>21</v>
          </cell>
        </row>
        <row r="95">
          <cell r="G95">
            <v>103639</v>
          </cell>
          <cell r="H95">
            <v>61</v>
          </cell>
        </row>
        <row r="96">
          <cell r="G96" t="str">
            <v>总计</v>
          </cell>
          <cell r="H96">
            <v>5781</v>
          </cell>
        </row>
      </sheetData>
      <sheetData sheetId="9"/>
      <sheetData sheetId="10">
        <row r="1">
          <cell r="F1" t="str">
            <v>门店ID</v>
          </cell>
          <cell r="G1" t="str">
            <v>汇总</v>
          </cell>
        </row>
        <row r="2">
          <cell r="F2">
            <v>52</v>
          </cell>
          <cell r="G2">
            <v>46.8</v>
          </cell>
        </row>
        <row r="3">
          <cell r="F3">
            <v>54</v>
          </cell>
          <cell r="G3">
            <v>104.6</v>
          </cell>
        </row>
        <row r="4">
          <cell r="F4">
            <v>56</v>
          </cell>
          <cell r="G4">
            <v>19.899999999999999</v>
          </cell>
        </row>
        <row r="5">
          <cell r="F5">
            <v>307</v>
          </cell>
          <cell r="G5">
            <v>3306.25</v>
          </cell>
        </row>
        <row r="6">
          <cell r="F6">
            <v>308</v>
          </cell>
          <cell r="G6">
            <v>385.6</v>
          </cell>
        </row>
        <row r="7">
          <cell r="F7">
            <v>311</v>
          </cell>
          <cell r="G7">
            <v>19.899999999999999</v>
          </cell>
        </row>
        <row r="8">
          <cell r="F8">
            <v>329</v>
          </cell>
          <cell r="G8">
            <v>330.7</v>
          </cell>
        </row>
        <row r="9">
          <cell r="F9">
            <v>337</v>
          </cell>
          <cell r="G9">
            <v>263.89</v>
          </cell>
        </row>
        <row r="10">
          <cell r="F10">
            <v>339</v>
          </cell>
          <cell r="G10">
            <v>188.7</v>
          </cell>
        </row>
        <row r="11">
          <cell r="F11">
            <v>341</v>
          </cell>
          <cell r="G11">
            <v>463.7</v>
          </cell>
        </row>
        <row r="12">
          <cell r="F12">
            <v>343</v>
          </cell>
          <cell r="G12">
            <v>703.72</v>
          </cell>
        </row>
        <row r="13">
          <cell r="F13">
            <v>347</v>
          </cell>
          <cell r="G13">
            <v>144.4</v>
          </cell>
        </row>
        <row r="14">
          <cell r="F14">
            <v>349</v>
          </cell>
          <cell r="G14">
            <v>970.29999999999905</v>
          </cell>
        </row>
        <row r="15">
          <cell r="F15">
            <v>351</v>
          </cell>
          <cell r="G15">
            <v>46.8</v>
          </cell>
        </row>
        <row r="16">
          <cell r="F16">
            <v>355</v>
          </cell>
          <cell r="G16">
            <v>326.14</v>
          </cell>
        </row>
        <row r="17">
          <cell r="F17">
            <v>357</v>
          </cell>
          <cell r="G17">
            <v>331.2</v>
          </cell>
        </row>
        <row r="18">
          <cell r="F18">
            <v>359</v>
          </cell>
          <cell r="G18">
            <v>568.1</v>
          </cell>
        </row>
        <row r="19">
          <cell r="F19">
            <v>365</v>
          </cell>
          <cell r="G19">
            <v>933.1</v>
          </cell>
        </row>
        <row r="20">
          <cell r="F20">
            <v>367</v>
          </cell>
          <cell r="G20">
            <v>331.84</v>
          </cell>
        </row>
        <row r="21">
          <cell r="F21">
            <v>371</v>
          </cell>
          <cell r="G21">
            <v>197.1</v>
          </cell>
        </row>
        <row r="22">
          <cell r="F22">
            <v>373</v>
          </cell>
          <cell r="G22">
            <v>578.76</v>
          </cell>
        </row>
        <row r="23">
          <cell r="F23">
            <v>377</v>
          </cell>
          <cell r="G23">
            <v>19.899999999999999</v>
          </cell>
        </row>
        <row r="24">
          <cell r="F24">
            <v>379</v>
          </cell>
          <cell r="G24">
            <v>504.7</v>
          </cell>
        </row>
        <row r="25">
          <cell r="F25">
            <v>385</v>
          </cell>
          <cell r="G25">
            <v>25.8</v>
          </cell>
        </row>
        <row r="26">
          <cell r="F26">
            <v>387</v>
          </cell>
          <cell r="G26">
            <v>283.57</v>
          </cell>
        </row>
        <row r="27">
          <cell r="F27">
            <v>391</v>
          </cell>
          <cell r="G27">
            <v>813.35</v>
          </cell>
        </row>
        <row r="28">
          <cell r="F28">
            <v>399</v>
          </cell>
          <cell r="G28">
            <v>1108.54</v>
          </cell>
        </row>
        <row r="29">
          <cell r="F29">
            <v>511</v>
          </cell>
          <cell r="G29">
            <v>264.81</v>
          </cell>
        </row>
        <row r="30">
          <cell r="F30">
            <v>513</v>
          </cell>
          <cell r="G30">
            <v>629.75</v>
          </cell>
        </row>
        <row r="31">
          <cell r="F31">
            <v>514</v>
          </cell>
          <cell r="G31">
            <v>190.65</v>
          </cell>
        </row>
        <row r="32">
          <cell r="F32">
            <v>515</v>
          </cell>
          <cell r="G32">
            <v>323.7</v>
          </cell>
        </row>
        <row r="33">
          <cell r="F33">
            <v>517</v>
          </cell>
          <cell r="G33">
            <v>985.6</v>
          </cell>
        </row>
        <row r="34">
          <cell r="F34">
            <v>539</v>
          </cell>
          <cell r="G34">
            <v>136.05000000000001</v>
          </cell>
        </row>
        <row r="35">
          <cell r="F35">
            <v>541</v>
          </cell>
          <cell r="G35">
            <v>813.22</v>
          </cell>
        </row>
        <row r="36">
          <cell r="F36">
            <v>545</v>
          </cell>
          <cell r="G36">
            <v>404.3</v>
          </cell>
        </row>
        <row r="37">
          <cell r="F37">
            <v>546</v>
          </cell>
          <cell r="G37">
            <v>920.9</v>
          </cell>
        </row>
        <row r="38">
          <cell r="F38">
            <v>549</v>
          </cell>
          <cell r="G38">
            <v>44.9</v>
          </cell>
        </row>
        <row r="39">
          <cell r="F39">
            <v>570</v>
          </cell>
          <cell r="G39">
            <v>180.54</v>
          </cell>
        </row>
        <row r="40">
          <cell r="F40">
            <v>571</v>
          </cell>
          <cell r="G40">
            <v>671.3</v>
          </cell>
        </row>
        <row r="41">
          <cell r="F41">
            <v>572</v>
          </cell>
          <cell r="G41">
            <v>160.35</v>
          </cell>
        </row>
        <row r="42">
          <cell r="F42">
            <v>573</v>
          </cell>
          <cell r="G42">
            <v>105.4</v>
          </cell>
        </row>
        <row r="43">
          <cell r="F43">
            <v>578</v>
          </cell>
          <cell r="G43">
            <v>256.5</v>
          </cell>
        </row>
        <row r="44">
          <cell r="F44">
            <v>581</v>
          </cell>
          <cell r="G44">
            <v>1487.06</v>
          </cell>
        </row>
        <row r="45">
          <cell r="F45">
            <v>582</v>
          </cell>
          <cell r="G45">
            <v>642.75</v>
          </cell>
        </row>
        <row r="46">
          <cell r="F46">
            <v>585</v>
          </cell>
          <cell r="G46">
            <v>684.95</v>
          </cell>
        </row>
        <row r="47">
          <cell r="F47">
            <v>587</v>
          </cell>
          <cell r="G47">
            <v>165.1</v>
          </cell>
        </row>
        <row r="48">
          <cell r="F48">
            <v>591</v>
          </cell>
          <cell r="G48">
            <v>421.3</v>
          </cell>
        </row>
        <row r="49">
          <cell r="F49">
            <v>594</v>
          </cell>
          <cell r="G49">
            <v>44.9</v>
          </cell>
        </row>
        <row r="50">
          <cell r="F50">
            <v>598</v>
          </cell>
          <cell r="G50">
            <v>559.54999999999995</v>
          </cell>
        </row>
        <row r="51">
          <cell r="F51">
            <v>704</v>
          </cell>
          <cell r="G51">
            <v>299.8</v>
          </cell>
        </row>
        <row r="52">
          <cell r="F52">
            <v>706</v>
          </cell>
          <cell r="G52">
            <v>39.799999999999997</v>
          </cell>
        </row>
        <row r="53">
          <cell r="F53">
            <v>707</v>
          </cell>
          <cell r="G53">
            <v>355.7</v>
          </cell>
        </row>
        <row r="54">
          <cell r="F54">
            <v>709</v>
          </cell>
          <cell r="G54">
            <v>495.5</v>
          </cell>
        </row>
        <row r="55">
          <cell r="F55">
            <v>710</v>
          </cell>
          <cell r="G55">
            <v>166.4</v>
          </cell>
        </row>
        <row r="56">
          <cell r="F56">
            <v>712</v>
          </cell>
          <cell r="G56">
            <v>520.79999999999995</v>
          </cell>
        </row>
        <row r="57">
          <cell r="F57">
            <v>713</v>
          </cell>
          <cell r="G57">
            <v>101.74</v>
          </cell>
        </row>
        <row r="58">
          <cell r="F58">
            <v>716</v>
          </cell>
          <cell r="G58">
            <v>259.45</v>
          </cell>
        </row>
        <row r="59">
          <cell r="F59">
            <v>717</v>
          </cell>
          <cell r="G59">
            <v>326.89999999999998</v>
          </cell>
        </row>
        <row r="60">
          <cell r="F60">
            <v>718</v>
          </cell>
          <cell r="G60">
            <v>224.69</v>
          </cell>
        </row>
        <row r="61">
          <cell r="F61">
            <v>720</v>
          </cell>
          <cell r="G61">
            <v>71.25</v>
          </cell>
        </row>
        <row r="62">
          <cell r="F62">
            <v>721</v>
          </cell>
          <cell r="G62">
            <v>530.75</v>
          </cell>
        </row>
        <row r="63">
          <cell r="F63">
            <v>723</v>
          </cell>
          <cell r="G63">
            <v>429.9</v>
          </cell>
        </row>
        <row r="64">
          <cell r="F64">
            <v>724</v>
          </cell>
          <cell r="G64">
            <v>390.85</v>
          </cell>
        </row>
        <row r="65">
          <cell r="F65">
            <v>726</v>
          </cell>
          <cell r="G65">
            <v>650.72</v>
          </cell>
        </row>
        <row r="66">
          <cell r="F66">
            <v>727</v>
          </cell>
          <cell r="G66">
            <v>143</v>
          </cell>
        </row>
        <row r="67">
          <cell r="F67">
            <v>730</v>
          </cell>
          <cell r="G67">
            <v>154.80000000000001</v>
          </cell>
        </row>
        <row r="68">
          <cell r="F68">
            <v>732</v>
          </cell>
          <cell r="G68">
            <v>53.8</v>
          </cell>
        </row>
        <row r="69">
          <cell r="F69">
            <v>733</v>
          </cell>
          <cell r="G69">
            <v>206.2</v>
          </cell>
        </row>
        <row r="70">
          <cell r="F70">
            <v>737</v>
          </cell>
          <cell r="G70">
            <v>605.70000000000005</v>
          </cell>
        </row>
        <row r="71">
          <cell r="F71">
            <v>738</v>
          </cell>
          <cell r="G71">
            <v>383.4</v>
          </cell>
        </row>
        <row r="72">
          <cell r="F72">
            <v>740</v>
          </cell>
          <cell r="G72">
            <v>181.5</v>
          </cell>
        </row>
        <row r="73">
          <cell r="F73">
            <v>741</v>
          </cell>
          <cell r="G73">
            <v>414.1</v>
          </cell>
        </row>
        <row r="74">
          <cell r="F74">
            <v>742</v>
          </cell>
          <cell r="G74">
            <v>577.79999999999995</v>
          </cell>
        </row>
        <row r="75">
          <cell r="F75">
            <v>743</v>
          </cell>
          <cell r="G75">
            <v>253.8</v>
          </cell>
        </row>
        <row r="76">
          <cell r="F76">
            <v>744</v>
          </cell>
          <cell r="G76">
            <v>64.8</v>
          </cell>
        </row>
        <row r="77">
          <cell r="F77">
            <v>745</v>
          </cell>
          <cell r="G77">
            <v>235.55</v>
          </cell>
        </row>
        <row r="78">
          <cell r="F78">
            <v>746</v>
          </cell>
          <cell r="G78">
            <v>84.7</v>
          </cell>
        </row>
        <row r="79">
          <cell r="F79">
            <v>747</v>
          </cell>
          <cell r="G79">
            <v>111.3</v>
          </cell>
        </row>
        <row r="80">
          <cell r="F80">
            <v>748</v>
          </cell>
          <cell r="G80">
            <v>269.7</v>
          </cell>
        </row>
        <row r="81">
          <cell r="F81">
            <v>750</v>
          </cell>
          <cell r="G81">
            <v>2777.66</v>
          </cell>
        </row>
        <row r="82">
          <cell r="F82">
            <v>752</v>
          </cell>
          <cell r="G82">
            <v>86.6</v>
          </cell>
        </row>
        <row r="83">
          <cell r="F83">
            <v>753</v>
          </cell>
          <cell r="G83">
            <v>217.05</v>
          </cell>
        </row>
        <row r="84">
          <cell r="F84">
            <v>754</v>
          </cell>
          <cell r="G84">
            <v>169.9</v>
          </cell>
        </row>
        <row r="85">
          <cell r="F85">
            <v>755</v>
          </cell>
          <cell r="G85">
            <v>225.1</v>
          </cell>
        </row>
        <row r="86">
          <cell r="F86">
            <v>101453</v>
          </cell>
          <cell r="G86">
            <v>549.04999999999995</v>
          </cell>
        </row>
        <row r="87">
          <cell r="F87">
            <v>102478</v>
          </cell>
          <cell r="G87">
            <v>26.9</v>
          </cell>
        </row>
        <row r="88">
          <cell r="F88">
            <v>102479</v>
          </cell>
          <cell r="G88">
            <v>144.35</v>
          </cell>
        </row>
        <row r="89">
          <cell r="F89">
            <v>102564</v>
          </cell>
          <cell r="G89">
            <v>207.5</v>
          </cell>
        </row>
        <row r="90">
          <cell r="F90">
            <v>102565</v>
          </cell>
          <cell r="G90">
            <v>262.39999999999998</v>
          </cell>
        </row>
        <row r="91">
          <cell r="F91">
            <v>102567</v>
          </cell>
          <cell r="G91">
            <v>42.99</v>
          </cell>
        </row>
        <row r="92">
          <cell r="F92">
            <v>102934</v>
          </cell>
          <cell r="G92">
            <v>171</v>
          </cell>
        </row>
        <row r="93">
          <cell r="F93">
            <v>102935</v>
          </cell>
          <cell r="G93">
            <v>313.95</v>
          </cell>
        </row>
        <row r="94">
          <cell r="F94">
            <v>103198</v>
          </cell>
          <cell r="G94">
            <v>251.2</v>
          </cell>
        </row>
        <row r="95">
          <cell r="F95">
            <v>103199</v>
          </cell>
          <cell r="G95">
            <v>373</v>
          </cell>
        </row>
        <row r="96">
          <cell r="F96">
            <v>103639</v>
          </cell>
          <cell r="G96">
            <v>455.8</v>
          </cell>
        </row>
        <row r="97">
          <cell r="F97" t="str">
            <v>总计</v>
          </cell>
          <cell r="G97">
            <v>37989.79</v>
          </cell>
        </row>
      </sheetData>
      <sheetData sheetId="11"/>
      <sheetData sheetId="12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377.6</v>
          </cell>
        </row>
        <row r="3">
          <cell r="G3">
            <v>54</v>
          </cell>
          <cell r="H3">
            <v>291.83999999999997</v>
          </cell>
        </row>
        <row r="4">
          <cell r="G4">
            <v>307</v>
          </cell>
          <cell r="H4">
            <v>1126.8</v>
          </cell>
        </row>
        <row r="5">
          <cell r="G5">
            <v>308</v>
          </cell>
          <cell r="H5">
            <v>338</v>
          </cell>
        </row>
        <row r="6">
          <cell r="G6">
            <v>311</v>
          </cell>
          <cell r="H6">
            <v>114</v>
          </cell>
        </row>
        <row r="7">
          <cell r="G7">
            <v>329</v>
          </cell>
          <cell r="H7">
            <v>114</v>
          </cell>
        </row>
        <row r="8">
          <cell r="G8">
            <v>337</v>
          </cell>
          <cell r="H8">
            <v>403.8</v>
          </cell>
        </row>
        <row r="9">
          <cell r="G9">
            <v>339</v>
          </cell>
          <cell r="H9">
            <v>115.8</v>
          </cell>
        </row>
        <row r="10">
          <cell r="G10">
            <v>341</v>
          </cell>
          <cell r="H10">
            <v>109.96</v>
          </cell>
        </row>
        <row r="11">
          <cell r="G11">
            <v>343</v>
          </cell>
          <cell r="H11">
            <v>415.4</v>
          </cell>
        </row>
        <row r="12">
          <cell r="G12">
            <v>347</v>
          </cell>
          <cell r="H12">
            <v>37</v>
          </cell>
        </row>
        <row r="13">
          <cell r="G13">
            <v>349</v>
          </cell>
          <cell r="H13">
            <v>335</v>
          </cell>
        </row>
        <row r="14">
          <cell r="G14">
            <v>351</v>
          </cell>
          <cell r="H14">
            <v>593</v>
          </cell>
        </row>
        <row r="15">
          <cell r="G15">
            <v>357</v>
          </cell>
          <cell r="H15">
            <v>75</v>
          </cell>
        </row>
        <row r="16">
          <cell r="G16">
            <v>359</v>
          </cell>
          <cell r="H16">
            <v>670</v>
          </cell>
        </row>
        <row r="17">
          <cell r="G17">
            <v>365</v>
          </cell>
          <cell r="H17">
            <v>113</v>
          </cell>
        </row>
        <row r="18">
          <cell r="G18">
            <v>367</v>
          </cell>
          <cell r="H18">
            <v>148</v>
          </cell>
        </row>
        <row r="19">
          <cell r="G19">
            <v>371</v>
          </cell>
          <cell r="H19">
            <v>222</v>
          </cell>
        </row>
        <row r="20">
          <cell r="G20">
            <v>373</v>
          </cell>
          <cell r="H20">
            <v>296</v>
          </cell>
        </row>
        <row r="21">
          <cell r="G21">
            <v>377</v>
          </cell>
          <cell r="H21">
            <v>74</v>
          </cell>
        </row>
        <row r="22">
          <cell r="G22">
            <v>379</v>
          </cell>
          <cell r="H22">
            <v>67</v>
          </cell>
        </row>
        <row r="23">
          <cell r="G23">
            <v>385</v>
          </cell>
          <cell r="H23">
            <v>403.5</v>
          </cell>
        </row>
        <row r="24">
          <cell r="G24">
            <v>387</v>
          </cell>
          <cell r="H24">
            <v>373.1</v>
          </cell>
        </row>
        <row r="25">
          <cell r="G25">
            <v>391</v>
          </cell>
          <cell r="H25">
            <v>488.93</v>
          </cell>
        </row>
        <row r="26">
          <cell r="G26">
            <v>399</v>
          </cell>
          <cell r="H26">
            <v>38</v>
          </cell>
        </row>
        <row r="27">
          <cell r="G27">
            <v>511</v>
          </cell>
          <cell r="H27">
            <v>264.8</v>
          </cell>
        </row>
        <row r="28">
          <cell r="G28">
            <v>513</v>
          </cell>
          <cell r="H28">
            <v>639.4</v>
          </cell>
        </row>
        <row r="29">
          <cell r="G29">
            <v>514</v>
          </cell>
          <cell r="H29">
            <v>223</v>
          </cell>
        </row>
        <row r="30">
          <cell r="G30">
            <v>515</v>
          </cell>
          <cell r="H30">
            <v>222</v>
          </cell>
        </row>
        <row r="31">
          <cell r="G31">
            <v>517</v>
          </cell>
          <cell r="H31">
            <v>683.6</v>
          </cell>
        </row>
        <row r="32">
          <cell r="G32">
            <v>539</v>
          </cell>
          <cell r="H32">
            <v>149</v>
          </cell>
        </row>
        <row r="33">
          <cell r="G33">
            <v>541</v>
          </cell>
          <cell r="H33">
            <v>189</v>
          </cell>
        </row>
        <row r="34">
          <cell r="G34">
            <v>545</v>
          </cell>
          <cell r="H34">
            <v>111</v>
          </cell>
        </row>
        <row r="35">
          <cell r="G35">
            <v>546</v>
          </cell>
          <cell r="H35">
            <v>185</v>
          </cell>
        </row>
        <row r="36">
          <cell r="G36">
            <v>549</v>
          </cell>
          <cell r="H36">
            <v>37</v>
          </cell>
        </row>
        <row r="37">
          <cell r="G37">
            <v>570</v>
          </cell>
          <cell r="H37">
            <v>75</v>
          </cell>
        </row>
        <row r="38">
          <cell r="G38">
            <v>571</v>
          </cell>
          <cell r="H38">
            <v>192.6</v>
          </cell>
        </row>
        <row r="39">
          <cell r="G39">
            <v>572</v>
          </cell>
          <cell r="H39">
            <v>61.88</v>
          </cell>
        </row>
        <row r="40">
          <cell r="G40">
            <v>573</v>
          </cell>
          <cell r="H40">
            <v>142.38999999999999</v>
          </cell>
        </row>
        <row r="41">
          <cell r="G41">
            <v>578</v>
          </cell>
          <cell r="H41">
            <v>343.23</v>
          </cell>
        </row>
        <row r="42">
          <cell r="G42">
            <v>581</v>
          </cell>
          <cell r="H42">
            <v>598.6</v>
          </cell>
        </row>
        <row r="43">
          <cell r="G43">
            <v>582</v>
          </cell>
          <cell r="H43">
            <v>795</v>
          </cell>
        </row>
        <row r="44">
          <cell r="G44">
            <v>584</v>
          </cell>
          <cell r="H44">
            <v>114</v>
          </cell>
        </row>
        <row r="45">
          <cell r="G45">
            <v>585</v>
          </cell>
          <cell r="H45">
            <v>394</v>
          </cell>
        </row>
        <row r="46">
          <cell r="G46">
            <v>587</v>
          </cell>
          <cell r="H46">
            <v>486.8</v>
          </cell>
        </row>
        <row r="47">
          <cell r="G47">
            <v>591</v>
          </cell>
          <cell r="H47">
            <v>151</v>
          </cell>
        </row>
        <row r="48">
          <cell r="G48">
            <v>594</v>
          </cell>
          <cell r="H48">
            <v>222</v>
          </cell>
        </row>
        <row r="49">
          <cell r="G49">
            <v>598</v>
          </cell>
          <cell r="H49">
            <v>518.78</v>
          </cell>
        </row>
        <row r="50">
          <cell r="G50">
            <v>706</v>
          </cell>
          <cell r="H50">
            <v>337.65</v>
          </cell>
        </row>
        <row r="51">
          <cell r="G51">
            <v>707</v>
          </cell>
          <cell r="H51">
            <v>298</v>
          </cell>
        </row>
        <row r="52">
          <cell r="G52">
            <v>709</v>
          </cell>
          <cell r="H52">
            <v>930.6</v>
          </cell>
        </row>
        <row r="53">
          <cell r="G53">
            <v>710</v>
          </cell>
          <cell r="H53">
            <v>267.8</v>
          </cell>
        </row>
        <row r="54">
          <cell r="G54">
            <v>712</v>
          </cell>
          <cell r="H54">
            <v>463</v>
          </cell>
        </row>
        <row r="55">
          <cell r="G55">
            <v>713</v>
          </cell>
          <cell r="H55">
            <v>222</v>
          </cell>
        </row>
        <row r="56">
          <cell r="G56">
            <v>716</v>
          </cell>
          <cell r="H56">
            <v>223</v>
          </cell>
        </row>
        <row r="57">
          <cell r="G57">
            <v>717</v>
          </cell>
          <cell r="H57">
            <v>77.8</v>
          </cell>
        </row>
        <row r="58">
          <cell r="G58">
            <v>718</v>
          </cell>
          <cell r="H58">
            <v>409</v>
          </cell>
        </row>
        <row r="59">
          <cell r="G59">
            <v>720</v>
          </cell>
          <cell r="H59">
            <v>74</v>
          </cell>
        </row>
        <row r="60">
          <cell r="G60">
            <v>721</v>
          </cell>
          <cell r="H60">
            <v>148</v>
          </cell>
        </row>
        <row r="61">
          <cell r="G61">
            <v>724</v>
          </cell>
          <cell r="H61">
            <v>438.5</v>
          </cell>
        </row>
        <row r="62">
          <cell r="G62">
            <v>726</v>
          </cell>
          <cell r="H62">
            <v>710.14</v>
          </cell>
        </row>
        <row r="63">
          <cell r="G63">
            <v>727</v>
          </cell>
          <cell r="H63">
            <v>228.6</v>
          </cell>
        </row>
        <row r="64">
          <cell r="G64">
            <v>730</v>
          </cell>
          <cell r="H64">
            <v>112</v>
          </cell>
        </row>
        <row r="65">
          <cell r="G65">
            <v>732</v>
          </cell>
          <cell r="H65">
            <v>38</v>
          </cell>
        </row>
        <row r="66">
          <cell r="G66">
            <v>737</v>
          </cell>
          <cell r="H66">
            <v>262</v>
          </cell>
        </row>
        <row r="67">
          <cell r="G67">
            <v>738</v>
          </cell>
          <cell r="H67">
            <v>38</v>
          </cell>
        </row>
        <row r="68">
          <cell r="G68">
            <v>740</v>
          </cell>
          <cell r="H68">
            <v>149.80000000000001</v>
          </cell>
        </row>
        <row r="69">
          <cell r="G69">
            <v>741</v>
          </cell>
          <cell r="H69">
            <v>185</v>
          </cell>
        </row>
        <row r="70">
          <cell r="G70">
            <v>742</v>
          </cell>
          <cell r="H70">
            <v>226</v>
          </cell>
        </row>
        <row r="71">
          <cell r="G71">
            <v>743</v>
          </cell>
          <cell r="H71">
            <v>188.8</v>
          </cell>
        </row>
        <row r="72">
          <cell r="G72">
            <v>744</v>
          </cell>
          <cell r="H72">
            <v>28.75</v>
          </cell>
        </row>
        <row r="73">
          <cell r="G73">
            <v>745</v>
          </cell>
          <cell r="H73">
            <v>560.79999999999995</v>
          </cell>
        </row>
        <row r="74">
          <cell r="G74">
            <v>746</v>
          </cell>
          <cell r="H74">
            <v>149</v>
          </cell>
        </row>
        <row r="75">
          <cell r="G75">
            <v>747</v>
          </cell>
          <cell r="H75">
            <v>449</v>
          </cell>
        </row>
        <row r="76">
          <cell r="G76">
            <v>748</v>
          </cell>
          <cell r="H76">
            <v>247.4</v>
          </cell>
        </row>
        <row r="77">
          <cell r="G77">
            <v>750</v>
          </cell>
          <cell r="H77">
            <v>465.21</v>
          </cell>
        </row>
        <row r="78">
          <cell r="G78">
            <v>752</v>
          </cell>
          <cell r="H78">
            <v>222</v>
          </cell>
        </row>
        <row r="79">
          <cell r="G79">
            <v>753</v>
          </cell>
          <cell r="H79">
            <v>251.41</v>
          </cell>
        </row>
        <row r="80">
          <cell r="G80">
            <v>754</v>
          </cell>
          <cell r="H80">
            <v>679</v>
          </cell>
        </row>
        <row r="81">
          <cell r="G81">
            <v>755</v>
          </cell>
          <cell r="H81">
            <v>37</v>
          </cell>
        </row>
        <row r="82">
          <cell r="G82">
            <v>101453</v>
          </cell>
          <cell r="H82">
            <v>149</v>
          </cell>
        </row>
        <row r="83">
          <cell r="G83">
            <v>102478</v>
          </cell>
          <cell r="H83">
            <v>145.44999999999999</v>
          </cell>
        </row>
        <row r="84">
          <cell r="G84">
            <v>102479</v>
          </cell>
          <cell r="H84">
            <v>262</v>
          </cell>
        </row>
        <row r="85">
          <cell r="G85">
            <v>102565</v>
          </cell>
          <cell r="H85">
            <v>365.8</v>
          </cell>
        </row>
        <row r="86">
          <cell r="G86">
            <v>102567</v>
          </cell>
          <cell r="H86">
            <v>75</v>
          </cell>
        </row>
        <row r="87">
          <cell r="G87">
            <v>102934</v>
          </cell>
          <cell r="H87">
            <v>267.39999999999998</v>
          </cell>
        </row>
        <row r="88">
          <cell r="G88">
            <v>102935</v>
          </cell>
          <cell r="H88">
            <v>37</v>
          </cell>
        </row>
        <row r="89">
          <cell r="G89">
            <v>103198</v>
          </cell>
          <cell r="H89">
            <v>76.8</v>
          </cell>
        </row>
        <row r="90">
          <cell r="G90">
            <v>103199</v>
          </cell>
          <cell r="H90">
            <v>226.8</v>
          </cell>
        </row>
        <row r="91">
          <cell r="G91">
            <v>103639</v>
          </cell>
          <cell r="H91">
            <v>74</v>
          </cell>
        </row>
        <row r="92">
          <cell r="G92" t="str">
            <v>总计</v>
          </cell>
          <cell r="H92">
            <v>24936.32</v>
          </cell>
        </row>
      </sheetData>
      <sheetData sheetId="13"/>
      <sheetData sheetId="14">
        <row r="1">
          <cell r="G1" t="str">
            <v>门店ID</v>
          </cell>
          <cell r="H1" t="str">
            <v>求和项:14.5以下销售</v>
          </cell>
          <cell r="I1" t="str">
            <v>求和项:14.5以上销售</v>
          </cell>
        </row>
        <row r="2">
          <cell r="G2">
            <v>52</v>
          </cell>
          <cell r="H2">
            <v>20.7</v>
          </cell>
          <cell r="I2">
            <v>10906.1</v>
          </cell>
        </row>
        <row r="3">
          <cell r="G3">
            <v>54</v>
          </cell>
          <cell r="I3">
            <v>7546.1500000000196</v>
          </cell>
        </row>
        <row r="4">
          <cell r="G4">
            <v>56</v>
          </cell>
          <cell r="H4">
            <v>93.49</v>
          </cell>
          <cell r="I4">
            <v>5711.24</v>
          </cell>
        </row>
        <row r="5">
          <cell r="G5">
            <v>307</v>
          </cell>
          <cell r="H5">
            <v>237.56</v>
          </cell>
          <cell r="I5">
            <v>33126.1499999999</v>
          </cell>
        </row>
        <row r="6">
          <cell r="G6">
            <v>308</v>
          </cell>
          <cell r="H6">
            <v>84.92</v>
          </cell>
          <cell r="I6">
            <v>9979.67</v>
          </cell>
        </row>
        <row r="7">
          <cell r="G7">
            <v>311</v>
          </cell>
          <cell r="I7">
            <v>33413.97</v>
          </cell>
        </row>
        <row r="8">
          <cell r="G8">
            <v>329</v>
          </cell>
          <cell r="H8">
            <v>50.72</v>
          </cell>
          <cell r="I8">
            <v>3626.2</v>
          </cell>
        </row>
        <row r="9">
          <cell r="G9">
            <v>337</v>
          </cell>
          <cell r="H9">
            <v>133.97</v>
          </cell>
          <cell r="I9">
            <v>11872.51</v>
          </cell>
        </row>
        <row r="10">
          <cell r="G10">
            <v>339</v>
          </cell>
          <cell r="H10">
            <v>189.41</v>
          </cell>
          <cell r="I10">
            <v>4199.1900000000096</v>
          </cell>
        </row>
        <row r="11">
          <cell r="G11">
            <v>341</v>
          </cell>
          <cell r="I11">
            <v>13009.18</v>
          </cell>
        </row>
        <row r="12">
          <cell r="G12">
            <v>343</v>
          </cell>
          <cell r="H12">
            <v>98.54</v>
          </cell>
          <cell r="I12">
            <v>13208.3</v>
          </cell>
        </row>
        <row r="13">
          <cell r="G13">
            <v>345</v>
          </cell>
          <cell r="H13">
            <v>1877.61</v>
          </cell>
          <cell r="I13">
            <v>117784.7</v>
          </cell>
        </row>
        <row r="14">
          <cell r="G14">
            <v>347</v>
          </cell>
          <cell r="H14">
            <v>53.55</v>
          </cell>
          <cell r="I14">
            <v>2397.81</v>
          </cell>
        </row>
        <row r="15">
          <cell r="G15">
            <v>349</v>
          </cell>
          <cell r="H15">
            <v>9.48</v>
          </cell>
          <cell r="I15">
            <v>4318.8900000000103</v>
          </cell>
        </row>
        <row r="16">
          <cell r="G16">
            <v>351</v>
          </cell>
          <cell r="I16">
            <v>2751.3</v>
          </cell>
        </row>
        <row r="17">
          <cell r="G17">
            <v>355</v>
          </cell>
          <cell r="H17">
            <v>276.17</v>
          </cell>
          <cell r="I17">
            <v>6449.1900000000096</v>
          </cell>
        </row>
        <row r="18">
          <cell r="G18">
            <v>357</v>
          </cell>
          <cell r="H18">
            <v>27.1</v>
          </cell>
          <cell r="I18">
            <v>13158.2</v>
          </cell>
        </row>
        <row r="19">
          <cell r="G19">
            <v>359</v>
          </cell>
          <cell r="H19">
            <v>69.260000000000005</v>
          </cell>
          <cell r="I19">
            <v>5447.2000000000098</v>
          </cell>
        </row>
        <row r="20">
          <cell r="G20">
            <v>365</v>
          </cell>
          <cell r="H20">
            <v>185.02</v>
          </cell>
          <cell r="I20">
            <v>5971.3100000000104</v>
          </cell>
        </row>
        <row r="21">
          <cell r="G21">
            <v>367</v>
          </cell>
          <cell r="H21">
            <v>13.59</v>
          </cell>
          <cell r="I21">
            <v>4926.7000000000098</v>
          </cell>
        </row>
        <row r="22">
          <cell r="G22">
            <v>371</v>
          </cell>
          <cell r="I22">
            <v>7346.3100000000104</v>
          </cell>
        </row>
        <row r="23">
          <cell r="G23">
            <v>373</v>
          </cell>
          <cell r="H23">
            <v>11.8</v>
          </cell>
          <cell r="I23">
            <v>4512.9700000000103</v>
          </cell>
        </row>
        <row r="24">
          <cell r="G24">
            <v>377</v>
          </cell>
          <cell r="H24">
            <v>10.56</v>
          </cell>
          <cell r="I24">
            <v>7074.1000000000104</v>
          </cell>
        </row>
        <row r="25">
          <cell r="G25">
            <v>379</v>
          </cell>
          <cell r="H25">
            <v>599.36</v>
          </cell>
          <cell r="I25">
            <v>4810.2000000000098</v>
          </cell>
        </row>
        <row r="26">
          <cell r="G26">
            <v>385</v>
          </cell>
          <cell r="H26">
            <v>7</v>
          </cell>
          <cell r="I26">
            <v>38841.460000000101</v>
          </cell>
        </row>
        <row r="27">
          <cell r="G27">
            <v>387</v>
          </cell>
          <cell r="H27">
            <v>97.75</v>
          </cell>
          <cell r="I27">
            <v>5231.21000000001</v>
          </cell>
        </row>
        <row r="28">
          <cell r="G28">
            <v>391</v>
          </cell>
          <cell r="H28">
            <v>26.99</v>
          </cell>
          <cell r="I28">
            <v>15387.6599999999</v>
          </cell>
        </row>
        <row r="29">
          <cell r="G29">
            <v>399</v>
          </cell>
          <cell r="H29">
            <v>279.99</v>
          </cell>
          <cell r="I29">
            <v>7564.4500000000098</v>
          </cell>
        </row>
        <row r="30">
          <cell r="G30">
            <v>511</v>
          </cell>
          <cell r="H30">
            <v>13.44</v>
          </cell>
          <cell r="I30">
            <v>5729.53</v>
          </cell>
        </row>
        <row r="31">
          <cell r="G31">
            <v>513</v>
          </cell>
          <cell r="H31">
            <v>98.38</v>
          </cell>
          <cell r="I31">
            <v>3947.6400000000099</v>
          </cell>
        </row>
        <row r="32">
          <cell r="G32">
            <v>514</v>
          </cell>
          <cell r="I32">
            <v>16411.5999999999</v>
          </cell>
        </row>
        <row r="33">
          <cell r="G33">
            <v>515</v>
          </cell>
          <cell r="H33">
            <v>58.27</v>
          </cell>
          <cell r="I33">
            <v>5659.4000000000196</v>
          </cell>
        </row>
        <row r="34">
          <cell r="G34">
            <v>517</v>
          </cell>
          <cell r="H34">
            <v>13.3</v>
          </cell>
          <cell r="I34">
            <v>7488.6000000000104</v>
          </cell>
        </row>
        <row r="35">
          <cell r="G35">
            <v>539</v>
          </cell>
          <cell r="H35">
            <v>24.49</v>
          </cell>
          <cell r="I35">
            <v>2741.2</v>
          </cell>
        </row>
        <row r="36">
          <cell r="G36">
            <v>541</v>
          </cell>
          <cell r="H36">
            <v>50</v>
          </cell>
          <cell r="I36">
            <v>7720.3000000000102</v>
          </cell>
        </row>
        <row r="37">
          <cell r="G37">
            <v>545</v>
          </cell>
          <cell r="I37">
            <v>2990.4</v>
          </cell>
        </row>
        <row r="38">
          <cell r="G38">
            <v>546</v>
          </cell>
          <cell r="H38">
            <v>29.03</v>
          </cell>
          <cell r="I38">
            <v>8912.6</v>
          </cell>
        </row>
        <row r="39">
          <cell r="G39">
            <v>549</v>
          </cell>
          <cell r="H39">
            <v>1.0900000000000001</v>
          </cell>
          <cell r="I39">
            <v>4953.2</v>
          </cell>
        </row>
        <row r="40">
          <cell r="G40">
            <v>570</v>
          </cell>
          <cell r="H40">
            <v>51.42</v>
          </cell>
          <cell r="I40">
            <v>3861.9100000000099</v>
          </cell>
        </row>
        <row r="41">
          <cell r="G41">
            <v>571</v>
          </cell>
          <cell r="H41">
            <v>75.430000000000007</v>
          </cell>
          <cell r="I41">
            <v>15091.459999999901</v>
          </cell>
        </row>
        <row r="42">
          <cell r="G42">
            <v>572</v>
          </cell>
          <cell r="H42">
            <v>130.47</v>
          </cell>
          <cell r="I42">
            <v>4377.8800000000101</v>
          </cell>
        </row>
        <row r="43">
          <cell r="G43">
            <v>573</v>
          </cell>
          <cell r="H43">
            <v>33.299999999999997</v>
          </cell>
          <cell r="I43">
            <v>3545.6000000000099</v>
          </cell>
        </row>
        <row r="44">
          <cell r="G44">
            <v>578</v>
          </cell>
          <cell r="H44">
            <v>38.04</v>
          </cell>
          <cell r="I44">
            <v>34128.720000000001</v>
          </cell>
        </row>
        <row r="45">
          <cell r="G45">
            <v>581</v>
          </cell>
          <cell r="H45">
            <v>24.1</v>
          </cell>
          <cell r="I45">
            <v>6332.5700000000297</v>
          </cell>
        </row>
        <row r="46">
          <cell r="G46">
            <v>582</v>
          </cell>
          <cell r="H46">
            <v>13.85</v>
          </cell>
          <cell r="I46">
            <v>5731.21000000002</v>
          </cell>
        </row>
        <row r="47">
          <cell r="G47">
            <v>584</v>
          </cell>
          <cell r="H47">
            <v>92.69</v>
          </cell>
          <cell r="I47">
            <v>3702.4</v>
          </cell>
        </row>
        <row r="48">
          <cell r="G48">
            <v>585</v>
          </cell>
          <cell r="H48">
            <v>54.75</v>
          </cell>
          <cell r="I48">
            <v>6205.3800000000201</v>
          </cell>
        </row>
        <row r="49">
          <cell r="G49">
            <v>587</v>
          </cell>
          <cell r="H49">
            <v>13.88</v>
          </cell>
          <cell r="I49">
            <v>2345.9299999999998</v>
          </cell>
        </row>
        <row r="50">
          <cell r="G50">
            <v>591</v>
          </cell>
          <cell r="H50">
            <v>10.71</v>
          </cell>
          <cell r="I50">
            <v>4531.3000000000102</v>
          </cell>
        </row>
        <row r="51">
          <cell r="G51">
            <v>594</v>
          </cell>
          <cell r="H51">
            <v>46.41</v>
          </cell>
          <cell r="I51">
            <v>2489.2399999999998</v>
          </cell>
        </row>
        <row r="52">
          <cell r="G52">
            <v>598</v>
          </cell>
          <cell r="H52">
            <v>56.2</v>
          </cell>
          <cell r="I52">
            <v>4930.6000000000104</v>
          </cell>
        </row>
        <row r="53">
          <cell r="G53">
            <v>704</v>
          </cell>
          <cell r="H53">
            <v>37.07</v>
          </cell>
          <cell r="I53">
            <v>2011.4</v>
          </cell>
        </row>
        <row r="54">
          <cell r="G54">
            <v>706</v>
          </cell>
          <cell r="H54">
            <v>36.93</v>
          </cell>
          <cell r="I54">
            <v>1602</v>
          </cell>
        </row>
        <row r="55">
          <cell r="G55">
            <v>707</v>
          </cell>
          <cell r="H55">
            <v>2002.92</v>
          </cell>
          <cell r="I55">
            <v>5011.9000000000196</v>
          </cell>
        </row>
        <row r="56">
          <cell r="G56">
            <v>709</v>
          </cell>
          <cell r="H56">
            <v>82.56</v>
          </cell>
          <cell r="I56">
            <v>4989.04000000001</v>
          </cell>
        </row>
        <row r="57">
          <cell r="G57">
            <v>710</v>
          </cell>
          <cell r="I57">
            <v>2792.61</v>
          </cell>
        </row>
        <row r="58">
          <cell r="G58">
            <v>712</v>
          </cell>
          <cell r="H58">
            <v>26.14</v>
          </cell>
          <cell r="I58">
            <v>18890.8299999999</v>
          </cell>
        </row>
        <row r="59">
          <cell r="G59">
            <v>713</v>
          </cell>
          <cell r="I59">
            <v>2642.14</v>
          </cell>
        </row>
        <row r="60">
          <cell r="G60">
            <v>716</v>
          </cell>
          <cell r="I60">
            <v>5295.5700000000097</v>
          </cell>
        </row>
        <row r="61">
          <cell r="G61">
            <v>717</v>
          </cell>
          <cell r="I61">
            <v>5630.8000000000102</v>
          </cell>
        </row>
        <row r="62">
          <cell r="G62">
            <v>718</v>
          </cell>
          <cell r="H62">
            <v>8.1199999999999992</v>
          </cell>
          <cell r="I62">
            <v>1351.1</v>
          </cell>
        </row>
        <row r="63">
          <cell r="G63">
            <v>720</v>
          </cell>
          <cell r="I63">
            <v>3239.6000000000099</v>
          </cell>
        </row>
        <row r="64">
          <cell r="G64">
            <v>721</v>
          </cell>
          <cell r="I64">
            <v>8966.3999999999905</v>
          </cell>
        </row>
        <row r="65">
          <cell r="G65">
            <v>723</v>
          </cell>
          <cell r="H65">
            <v>25.53</v>
          </cell>
          <cell r="I65">
            <v>2789.18</v>
          </cell>
        </row>
        <row r="66">
          <cell r="G66">
            <v>724</v>
          </cell>
          <cell r="H66">
            <v>165.31</v>
          </cell>
          <cell r="I66">
            <v>7611.3900000000303</v>
          </cell>
        </row>
        <row r="67">
          <cell r="G67">
            <v>726</v>
          </cell>
          <cell r="H67">
            <v>434.88</v>
          </cell>
          <cell r="I67">
            <v>10569.36</v>
          </cell>
        </row>
        <row r="68">
          <cell r="G68">
            <v>727</v>
          </cell>
          <cell r="H68">
            <v>100.53</v>
          </cell>
          <cell r="I68">
            <v>2821.01</v>
          </cell>
        </row>
        <row r="69">
          <cell r="G69">
            <v>730</v>
          </cell>
          <cell r="I69">
            <v>8132.00000000001</v>
          </cell>
        </row>
        <row r="70">
          <cell r="G70">
            <v>732</v>
          </cell>
          <cell r="I70">
            <v>7482.13</v>
          </cell>
        </row>
        <row r="71">
          <cell r="G71">
            <v>733</v>
          </cell>
          <cell r="H71">
            <v>179.75</v>
          </cell>
          <cell r="I71">
            <v>2153.8000000000002</v>
          </cell>
        </row>
        <row r="72">
          <cell r="G72">
            <v>737</v>
          </cell>
          <cell r="H72">
            <v>79.87</v>
          </cell>
          <cell r="I72">
            <v>11628.6</v>
          </cell>
        </row>
        <row r="73">
          <cell r="G73">
            <v>738</v>
          </cell>
          <cell r="H73">
            <v>23.93</v>
          </cell>
          <cell r="I73">
            <v>2314</v>
          </cell>
        </row>
        <row r="74">
          <cell r="G74">
            <v>740</v>
          </cell>
          <cell r="I74">
            <v>3132.65</v>
          </cell>
        </row>
        <row r="75">
          <cell r="G75">
            <v>741</v>
          </cell>
          <cell r="H75">
            <v>41.8</v>
          </cell>
          <cell r="I75">
            <v>1150.3599999999999</v>
          </cell>
        </row>
        <row r="76">
          <cell r="G76">
            <v>742</v>
          </cell>
          <cell r="H76">
            <v>53.75</v>
          </cell>
          <cell r="I76">
            <v>2300.5</v>
          </cell>
        </row>
        <row r="77">
          <cell r="G77">
            <v>743</v>
          </cell>
          <cell r="H77">
            <v>51.06</v>
          </cell>
          <cell r="I77">
            <v>5069.00000000001</v>
          </cell>
        </row>
        <row r="78">
          <cell r="G78">
            <v>744</v>
          </cell>
          <cell r="H78">
            <v>130.88999999999999</v>
          </cell>
          <cell r="I78">
            <v>27084.14</v>
          </cell>
        </row>
        <row r="79">
          <cell r="G79">
            <v>745</v>
          </cell>
          <cell r="H79">
            <v>172.4</v>
          </cell>
          <cell r="I79">
            <v>2237.15</v>
          </cell>
        </row>
        <row r="80">
          <cell r="G80">
            <v>746</v>
          </cell>
          <cell r="H80">
            <v>24.15</v>
          </cell>
          <cell r="I80">
            <v>5712.4000000000096</v>
          </cell>
        </row>
        <row r="81">
          <cell r="G81">
            <v>747</v>
          </cell>
          <cell r="H81">
            <v>322.41000000000003</v>
          </cell>
          <cell r="I81">
            <v>2138.8000000000002</v>
          </cell>
        </row>
        <row r="82">
          <cell r="G82">
            <v>748</v>
          </cell>
          <cell r="I82">
            <v>5103.0900000000101</v>
          </cell>
        </row>
        <row r="83">
          <cell r="G83">
            <v>750</v>
          </cell>
          <cell r="H83">
            <v>122.87</v>
          </cell>
          <cell r="I83">
            <v>7614.04000000002</v>
          </cell>
        </row>
        <row r="84">
          <cell r="G84">
            <v>752</v>
          </cell>
          <cell r="H84">
            <v>336.91</v>
          </cell>
          <cell r="I84">
            <v>1851.2</v>
          </cell>
        </row>
        <row r="85">
          <cell r="G85">
            <v>753</v>
          </cell>
          <cell r="H85">
            <v>81.459999999999994</v>
          </cell>
          <cell r="I85">
            <v>2047</v>
          </cell>
        </row>
        <row r="86">
          <cell r="G86">
            <v>754</v>
          </cell>
          <cell r="I86">
            <v>18051.2</v>
          </cell>
        </row>
        <row r="87">
          <cell r="G87">
            <v>755</v>
          </cell>
          <cell r="H87">
            <v>190.44</v>
          </cell>
          <cell r="I87">
            <v>919.11</v>
          </cell>
        </row>
        <row r="88">
          <cell r="G88">
            <v>101453</v>
          </cell>
          <cell r="H88">
            <v>4.7999999999999501</v>
          </cell>
          <cell r="I88">
            <v>5351.6800000000103</v>
          </cell>
        </row>
        <row r="89">
          <cell r="G89">
            <v>102478</v>
          </cell>
          <cell r="H89">
            <v>25.74</v>
          </cell>
          <cell r="I89">
            <v>1787.14</v>
          </cell>
        </row>
        <row r="90">
          <cell r="G90">
            <v>102479</v>
          </cell>
          <cell r="I90">
            <v>2100.4</v>
          </cell>
        </row>
        <row r="91">
          <cell r="G91">
            <v>102564</v>
          </cell>
          <cell r="H91">
            <v>14000</v>
          </cell>
          <cell r="I91">
            <v>1673.2</v>
          </cell>
        </row>
        <row r="92">
          <cell r="G92">
            <v>102565</v>
          </cell>
          <cell r="H92">
            <v>166.9</v>
          </cell>
          <cell r="I92">
            <v>3773.52000000001</v>
          </cell>
        </row>
        <row r="93">
          <cell r="G93">
            <v>102567</v>
          </cell>
          <cell r="I93">
            <v>2847</v>
          </cell>
        </row>
        <row r="94">
          <cell r="G94">
            <v>102934</v>
          </cell>
          <cell r="H94">
            <v>169.69</v>
          </cell>
          <cell r="I94">
            <v>13814.71</v>
          </cell>
        </row>
        <row r="95">
          <cell r="G95">
            <v>102935</v>
          </cell>
          <cell r="I95">
            <v>1687.44</v>
          </cell>
        </row>
        <row r="96">
          <cell r="G96">
            <v>103198</v>
          </cell>
          <cell r="H96">
            <v>92.68</v>
          </cell>
          <cell r="I96">
            <v>4838.8</v>
          </cell>
        </row>
        <row r="97">
          <cell r="G97">
            <v>103199</v>
          </cell>
          <cell r="H97">
            <v>61.57</v>
          </cell>
          <cell r="I97">
            <v>2776.8</v>
          </cell>
        </row>
        <row r="98">
          <cell r="G98">
            <v>103639</v>
          </cell>
          <cell r="H98">
            <v>55.75</v>
          </cell>
          <cell r="I98">
            <v>2247.42</v>
          </cell>
        </row>
        <row r="99">
          <cell r="G99" t="str">
            <v>总计</v>
          </cell>
          <cell r="H99">
            <v>24692.6</v>
          </cell>
          <cell r="I99">
            <v>809634.6</v>
          </cell>
        </row>
      </sheetData>
      <sheetData sheetId="15"/>
      <sheetData sheetId="16">
        <row r="1">
          <cell r="E1" t="str">
            <v>门店ID</v>
          </cell>
          <cell r="F1" t="str">
            <v>汇总</v>
          </cell>
        </row>
        <row r="2">
          <cell r="E2">
            <v>52</v>
          </cell>
          <cell r="F2">
            <v>2374</v>
          </cell>
        </row>
        <row r="3">
          <cell r="E3">
            <v>54</v>
          </cell>
          <cell r="F3">
            <v>1759.46</v>
          </cell>
        </row>
        <row r="4">
          <cell r="E4">
            <v>56</v>
          </cell>
          <cell r="F4">
            <v>4223.8</v>
          </cell>
        </row>
        <row r="5">
          <cell r="E5">
            <v>307</v>
          </cell>
          <cell r="F5">
            <v>22853.42</v>
          </cell>
        </row>
        <row r="6">
          <cell r="E6">
            <v>308</v>
          </cell>
          <cell r="F6">
            <v>1271.92</v>
          </cell>
        </row>
        <row r="7">
          <cell r="E7">
            <v>311</v>
          </cell>
          <cell r="F7">
            <v>1123</v>
          </cell>
        </row>
        <row r="8">
          <cell r="E8">
            <v>329</v>
          </cell>
          <cell r="F8">
            <v>195</v>
          </cell>
        </row>
        <row r="9">
          <cell r="E9">
            <v>337</v>
          </cell>
          <cell r="F9">
            <v>12888.93</v>
          </cell>
        </row>
        <row r="10">
          <cell r="E10">
            <v>339</v>
          </cell>
          <cell r="F10">
            <v>1069.74</v>
          </cell>
        </row>
        <row r="11">
          <cell r="E11">
            <v>341</v>
          </cell>
          <cell r="F11">
            <v>555.04999999999995</v>
          </cell>
        </row>
        <row r="12">
          <cell r="E12">
            <v>343</v>
          </cell>
          <cell r="F12">
            <v>6160.01</v>
          </cell>
        </row>
        <row r="13">
          <cell r="E13">
            <v>347</v>
          </cell>
          <cell r="F13">
            <v>906.99</v>
          </cell>
        </row>
        <row r="14">
          <cell r="E14">
            <v>349</v>
          </cell>
          <cell r="F14">
            <v>3628.26</v>
          </cell>
        </row>
        <row r="15">
          <cell r="E15">
            <v>351</v>
          </cell>
          <cell r="F15">
            <v>239</v>
          </cell>
        </row>
        <row r="16">
          <cell r="E16">
            <v>355</v>
          </cell>
          <cell r="F16">
            <v>1901.7</v>
          </cell>
        </row>
        <row r="17">
          <cell r="E17">
            <v>357</v>
          </cell>
          <cell r="F17">
            <v>6169.39</v>
          </cell>
        </row>
        <row r="18">
          <cell r="E18">
            <v>359</v>
          </cell>
          <cell r="F18">
            <v>985.1</v>
          </cell>
        </row>
        <row r="19">
          <cell r="E19">
            <v>365</v>
          </cell>
          <cell r="F19">
            <v>2605.35</v>
          </cell>
        </row>
        <row r="20">
          <cell r="E20">
            <v>367</v>
          </cell>
          <cell r="F20">
            <v>1779</v>
          </cell>
        </row>
        <row r="21">
          <cell r="E21">
            <v>371</v>
          </cell>
          <cell r="F21">
            <v>468</v>
          </cell>
        </row>
        <row r="22">
          <cell r="E22">
            <v>373</v>
          </cell>
          <cell r="F22">
            <v>894.5</v>
          </cell>
        </row>
        <row r="23">
          <cell r="E23">
            <v>377</v>
          </cell>
          <cell r="F23">
            <v>0</v>
          </cell>
        </row>
        <row r="24">
          <cell r="E24">
            <v>379</v>
          </cell>
          <cell r="F24">
            <v>719.75</v>
          </cell>
        </row>
        <row r="25">
          <cell r="E25">
            <v>385</v>
          </cell>
          <cell r="F25">
            <v>1018.5</v>
          </cell>
        </row>
        <row r="26">
          <cell r="E26">
            <v>387</v>
          </cell>
          <cell r="F26">
            <v>2377.75</v>
          </cell>
        </row>
        <row r="27">
          <cell r="E27">
            <v>391</v>
          </cell>
          <cell r="F27">
            <v>1468.56</v>
          </cell>
        </row>
        <row r="28">
          <cell r="E28">
            <v>399</v>
          </cell>
          <cell r="F28">
            <v>616.27</v>
          </cell>
        </row>
        <row r="29">
          <cell r="E29">
            <v>511</v>
          </cell>
          <cell r="F29">
            <v>581.6</v>
          </cell>
        </row>
        <row r="30">
          <cell r="E30">
            <v>513</v>
          </cell>
          <cell r="F30">
            <v>1084.1300000000001</v>
          </cell>
        </row>
        <row r="31">
          <cell r="E31">
            <v>514</v>
          </cell>
          <cell r="F31">
            <v>3523.63</v>
          </cell>
        </row>
        <row r="32">
          <cell r="E32">
            <v>515</v>
          </cell>
          <cell r="F32">
            <v>1500.5</v>
          </cell>
        </row>
        <row r="33">
          <cell r="E33">
            <v>517</v>
          </cell>
          <cell r="F33">
            <v>1283.26</v>
          </cell>
        </row>
        <row r="34">
          <cell r="E34">
            <v>539</v>
          </cell>
          <cell r="F34">
            <v>2225.79</v>
          </cell>
        </row>
        <row r="35">
          <cell r="E35">
            <v>541</v>
          </cell>
          <cell r="F35">
            <v>3655</v>
          </cell>
        </row>
        <row r="36">
          <cell r="E36">
            <v>545</v>
          </cell>
          <cell r="F36">
            <v>971.92</v>
          </cell>
        </row>
        <row r="37">
          <cell r="E37">
            <v>546</v>
          </cell>
          <cell r="F37">
            <v>4245.59</v>
          </cell>
        </row>
        <row r="38">
          <cell r="E38">
            <v>549</v>
          </cell>
          <cell r="F38">
            <v>334.15</v>
          </cell>
        </row>
        <row r="39">
          <cell r="E39">
            <v>570</v>
          </cell>
          <cell r="F39">
            <v>1426.42</v>
          </cell>
        </row>
        <row r="40">
          <cell r="E40">
            <v>571</v>
          </cell>
          <cell r="F40">
            <v>900</v>
          </cell>
        </row>
        <row r="41">
          <cell r="E41">
            <v>572</v>
          </cell>
          <cell r="F41">
            <v>4756.3999999999996</v>
          </cell>
        </row>
        <row r="42">
          <cell r="E42">
            <v>573</v>
          </cell>
          <cell r="F42">
            <v>486.6</v>
          </cell>
        </row>
        <row r="43">
          <cell r="E43">
            <v>578</v>
          </cell>
          <cell r="F43">
            <v>1657.72</v>
          </cell>
        </row>
        <row r="44">
          <cell r="E44">
            <v>581</v>
          </cell>
          <cell r="F44">
            <v>1653.52</v>
          </cell>
        </row>
        <row r="45">
          <cell r="E45">
            <v>582</v>
          </cell>
          <cell r="F45">
            <v>3485.25</v>
          </cell>
        </row>
        <row r="46">
          <cell r="E46">
            <v>584</v>
          </cell>
          <cell r="F46">
            <v>526.84</v>
          </cell>
        </row>
        <row r="47">
          <cell r="E47">
            <v>585</v>
          </cell>
          <cell r="F47">
            <v>3353.42</v>
          </cell>
        </row>
        <row r="48">
          <cell r="E48">
            <v>587</v>
          </cell>
          <cell r="F48">
            <v>1683.85</v>
          </cell>
        </row>
        <row r="49">
          <cell r="E49">
            <v>591</v>
          </cell>
          <cell r="F49">
            <v>1490.92</v>
          </cell>
        </row>
        <row r="50">
          <cell r="E50">
            <v>594</v>
          </cell>
          <cell r="F50">
            <v>736.79</v>
          </cell>
        </row>
        <row r="51">
          <cell r="E51">
            <v>598</v>
          </cell>
          <cell r="F51">
            <v>1082</v>
          </cell>
        </row>
        <row r="52">
          <cell r="E52">
            <v>704</v>
          </cell>
          <cell r="F52">
            <v>1880.52</v>
          </cell>
        </row>
        <row r="53">
          <cell r="E53">
            <v>706</v>
          </cell>
          <cell r="F53">
            <v>135.01</v>
          </cell>
        </row>
        <row r="54">
          <cell r="E54">
            <v>707</v>
          </cell>
          <cell r="F54">
            <v>1184.92</v>
          </cell>
        </row>
        <row r="55">
          <cell r="E55">
            <v>709</v>
          </cell>
          <cell r="F55">
            <v>2785.34</v>
          </cell>
        </row>
        <row r="56">
          <cell r="E56">
            <v>710</v>
          </cell>
          <cell r="F56">
            <v>178</v>
          </cell>
        </row>
        <row r="57">
          <cell r="E57">
            <v>712</v>
          </cell>
          <cell r="F57">
            <v>5982.37</v>
          </cell>
        </row>
        <row r="58">
          <cell r="E58">
            <v>713</v>
          </cell>
          <cell r="F58">
            <v>241</v>
          </cell>
        </row>
        <row r="59">
          <cell r="E59">
            <v>716</v>
          </cell>
          <cell r="F59">
            <v>770</v>
          </cell>
        </row>
        <row r="60">
          <cell r="E60">
            <v>717</v>
          </cell>
          <cell r="F60">
            <v>1844</v>
          </cell>
        </row>
        <row r="61">
          <cell r="E61">
            <v>718</v>
          </cell>
          <cell r="F61">
            <v>862.02</v>
          </cell>
        </row>
        <row r="62">
          <cell r="E62">
            <v>720</v>
          </cell>
          <cell r="F62">
            <v>507.5</v>
          </cell>
        </row>
        <row r="63">
          <cell r="E63">
            <v>721</v>
          </cell>
          <cell r="F63">
            <v>984.42</v>
          </cell>
        </row>
        <row r="64">
          <cell r="E64">
            <v>723</v>
          </cell>
          <cell r="F64">
            <v>706.7</v>
          </cell>
        </row>
        <row r="65">
          <cell r="E65">
            <v>724</v>
          </cell>
          <cell r="F65">
            <v>537</v>
          </cell>
        </row>
        <row r="66">
          <cell r="E66">
            <v>726</v>
          </cell>
          <cell r="F66">
            <v>3037.08</v>
          </cell>
        </row>
        <row r="67">
          <cell r="E67">
            <v>727</v>
          </cell>
          <cell r="F67">
            <v>1076.74</v>
          </cell>
        </row>
        <row r="68">
          <cell r="E68">
            <v>730</v>
          </cell>
          <cell r="F68">
            <v>627</v>
          </cell>
        </row>
        <row r="69">
          <cell r="E69">
            <v>732</v>
          </cell>
          <cell r="F69">
            <v>755.6</v>
          </cell>
        </row>
        <row r="70">
          <cell r="E70">
            <v>737</v>
          </cell>
          <cell r="F70">
            <v>1996.75</v>
          </cell>
        </row>
        <row r="71">
          <cell r="E71">
            <v>738</v>
          </cell>
          <cell r="F71">
            <v>1360.42</v>
          </cell>
        </row>
        <row r="72">
          <cell r="E72">
            <v>740</v>
          </cell>
          <cell r="F72">
            <v>704.5</v>
          </cell>
        </row>
        <row r="73">
          <cell r="E73">
            <v>741</v>
          </cell>
          <cell r="F73">
            <v>450.05</v>
          </cell>
        </row>
        <row r="74">
          <cell r="E74">
            <v>742</v>
          </cell>
          <cell r="F74">
            <v>1537.93</v>
          </cell>
        </row>
        <row r="75">
          <cell r="E75">
            <v>743</v>
          </cell>
          <cell r="F75">
            <v>639.5</v>
          </cell>
        </row>
        <row r="76">
          <cell r="E76">
            <v>744</v>
          </cell>
          <cell r="F76">
            <v>61</v>
          </cell>
        </row>
        <row r="77">
          <cell r="E77">
            <v>745</v>
          </cell>
          <cell r="F77">
            <v>956.11</v>
          </cell>
        </row>
        <row r="78">
          <cell r="E78">
            <v>746</v>
          </cell>
          <cell r="F78">
            <v>989.65</v>
          </cell>
        </row>
        <row r="79">
          <cell r="E79">
            <v>747</v>
          </cell>
          <cell r="F79">
            <v>1854</v>
          </cell>
        </row>
        <row r="80">
          <cell r="E80">
            <v>748</v>
          </cell>
          <cell r="F80">
            <v>1437.67</v>
          </cell>
        </row>
        <row r="81">
          <cell r="E81">
            <v>750</v>
          </cell>
          <cell r="F81">
            <v>4457.0200000000004</v>
          </cell>
        </row>
        <row r="82">
          <cell r="E82">
            <v>752</v>
          </cell>
          <cell r="F82">
            <v>835.5</v>
          </cell>
        </row>
        <row r="83">
          <cell r="E83">
            <v>753</v>
          </cell>
          <cell r="F83">
            <v>317</v>
          </cell>
        </row>
        <row r="84">
          <cell r="E84">
            <v>754</v>
          </cell>
          <cell r="F84">
            <v>2780</v>
          </cell>
        </row>
        <row r="85">
          <cell r="E85">
            <v>101453</v>
          </cell>
          <cell r="F85">
            <v>1082.6400000000001</v>
          </cell>
        </row>
        <row r="86">
          <cell r="E86">
            <v>102478</v>
          </cell>
          <cell r="F86">
            <v>35</v>
          </cell>
        </row>
        <row r="87">
          <cell r="E87">
            <v>102479</v>
          </cell>
          <cell r="F87">
            <v>341.39</v>
          </cell>
        </row>
        <row r="88">
          <cell r="E88">
            <v>102564</v>
          </cell>
          <cell r="F88">
            <v>534.34</v>
          </cell>
        </row>
        <row r="89">
          <cell r="E89">
            <v>102565</v>
          </cell>
          <cell r="F89">
            <v>670.22</v>
          </cell>
        </row>
        <row r="90">
          <cell r="E90">
            <v>102567</v>
          </cell>
          <cell r="F90">
            <v>29.75</v>
          </cell>
        </row>
        <row r="91">
          <cell r="E91">
            <v>102934</v>
          </cell>
          <cell r="F91">
            <v>605.79999999999995</v>
          </cell>
        </row>
        <row r="92">
          <cell r="E92">
            <v>102935</v>
          </cell>
          <cell r="F92">
            <v>171</v>
          </cell>
        </row>
        <row r="93">
          <cell r="E93">
            <v>103198</v>
          </cell>
          <cell r="F93">
            <v>564.6</v>
          </cell>
        </row>
        <row r="94">
          <cell r="E94">
            <v>103199</v>
          </cell>
          <cell r="F94">
            <v>244.16</v>
          </cell>
        </row>
        <row r="95">
          <cell r="E95">
            <v>103639</v>
          </cell>
          <cell r="F95">
            <v>543.1</v>
          </cell>
        </row>
        <row r="96">
          <cell r="E96" t="str">
            <v>总计</v>
          </cell>
          <cell r="F96">
            <v>172192.07</v>
          </cell>
        </row>
      </sheetData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G1">
            <v>52</v>
          </cell>
          <cell r="H1">
            <v>13346.03</v>
          </cell>
        </row>
        <row r="2">
          <cell r="G2">
            <v>54</v>
          </cell>
          <cell r="H2">
            <v>16882.21</v>
          </cell>
        </row>
        <row r="3">
          <cell r="G3">
            <v>56</v>
          </cell>
          <cell r="H3">
            <v>13715.09</v>
          </cell>
        </row>
        <row r="4">
          <cell r="G4">
            <v>307</v>
          </cell>
          <cell r="H4">
            <v>168684.93</v>
          </cell>
        </row>
        <row r="5">
          <cell r="G5">
            <v>308</v>
          </cell>
          <cell r="H5">
            <v>12299.47</v>
          </cell>
        </row>
        <row r="6">
          <cell r="G6">
            <v>311</v>
          </cell>
          <cell r="H6">
            <v>5895.39</v>
          </cell>
        </row>
        <row r="7">
          <cell r="G7">
            <v>329</v>
          </cell>
          <cell r="H7">
            <v>27243.99</v>
          </cell>
        </row>
        <row r="8">
          <cell r="G8">
            <v>337</v>
          </cell>
          <cell r="H8">
            <v>66209.98</v>
          </cell>
        </row>
        <row r="9">
          <cell r="G9">
            <v>339</v>
          </cell>
          <cell r="H9">
            <v>4741.83</v>
          </cell>
        </row>
        <row r="10">
          <cell r="G10">
            <v>341</v>
          </cell>
          <cell r="H10">
            <v>63231.95</v>
          </cell>
        </row>
        <row r="11">
          <cell r="G11">
            <v>343</v>
          </cell>
          <cell r="H11">
            <v>47626.74</v>
          </cell>
        </row>
        <row r="12">
          <cell r="G12">
            <v>345</v>
          </cell>
          <cell r="H12">
            <v>248</v>
          </cell>
        </row>
        <row r="13">
          <cell r="G13">
            <v>347</v>
          </cell>
          <cell r="H13">
            <v>4920.37</v>
          </cell>
        </row>
        <row r="14">
          <cell r="G14">
            <v>349</v>
          </cell>
          <cell r="H14">
            <v>16111.68</v>
          </cell>
        </row>
        <row r="15">
          <cell r="G15">
            <v>351</v>
          </cell>
          <cell r="H15">
            <v>11359.4</v>
          </cell>
        </row>
        <row r="16">
          <cell r="G16">
            <v>355</v>
          </cell>
          <cell r="H16">
            <v>25531.439999999999</v>
          </cell>
        </row>
        <row r="17">
          <cell r="G17">
            <v>357</v>
          </cell>
          <cell r="H17">
            <v>15411.28</v>
          </cell>
        </row>
        <row r="18">
          <cell r="G18">
            <v>359</v>
          </cell>
          <cell r="H18">
            <v>20569.02</v>
          </cell>
        </row>
        <row r="19">
          <cell r="G19">
            <v>365</v>
          </cell>
          <cell r="H19">
            <v>21223.78</v>
          </cell>
        </row>
        <row r="20">
          <cell r="G20">
            <v>367</v>
          </cell>
          <cell r="H20">
            <v>7358.11</v>
          </cell>
        </row>
        <row r="21">
          <cell r="G21">
            <v>371</v>
          </cell>
          <cell r="H21">
            <v>2714.57</v>
          </cell>
        </row>
        <row r="22">
          <cell r="G22">
            <v>373</v>
          </cell>
          <cell r="H22">
            <v>15966.51</v>
          </cell>
        </row>
        <row r="23">
          <cell r="G23">
            <v>377</v>
          </cell>
          <cell r="H23">
            <v>15427.47</v>
          </cell>
        </row>
        <row r="24">
          <cell r="G24">
            <v>379</v>
          </cell>
          <cell r="H24">
            <v>11632.66</v>
          </cell>
        </row>
        <row r="25">
          <cell r="G25">
            <v>385</v>
          </cell>
          <cell r="H25">
            <v>15143.89</v>
          </cell>
        </row>
        <row r="26">
          <cell r="G26">
            <v>387</v>
          </cell>
          <cell r="H26">
            <v>24892.66</v>
          </cell>
        </row>
        <row r="27">
          <cell r="G27">
            <v>391</v>
          </cell>
          <cell r="H27">
            <v>21022.880000000001</v>
          </cell>
        </row>
        <row r="28">
          <cell r="G28">
            <v>399</v>
          </cell>
          <cell r="H28">
            <v>11295.76</v>
          </cell>
        </row>
        <row r="29">
          <cell r="G29">
            <v>511</v>
          </cell>
          <cell r="H29">
            <v>8324.1</v>
          </cell>
        </row>
        <row r="30">
          <cell r="G30">
            <v>513</v>
          </cell>
          <cell r="H30">
            <v>16469.23</v>
          </cell>
        </row>
        <row r="31">
          <cell r="G31">
            <v>514</v>
          </cell>
          <cell r="H31">
            <v>18738.43</v>
          </cell>
        </row>
        <row r="32">
          <cell r="G32">
            <v>515</v>
          </cell>
          <cell r="H32">
            <v>13382.53</v>
          </cell>
        </row>
        <row r="33">
          <cell r="G33">
            <v>517</v>
          </cell>
          <cell r="H33">
            <v>25049.85</v>
          </cell>
        </row>
        <row r="34">
          <cell r="G34">
            <v>539</v>
          </cell>
          <cell r="H34">
            <v>9371.2199999999993</v>
          </cell>
        </row>
        <row r="35">
          <cell r="G35">
            <v>541</v>
          </cell>
          <cell r="H35">
            <v>19337.53</v>
          </cell>
        </row>
        <row r="36">
          <cell r="G36">
            <v>545</v>
          </cell>
          <cell r="H36">
            <v>4908.41</v>
          </cell>
        </row>
        <row r="37">
          <cell r="G37">
            <v>546</v>
          </cell>
          <cell r="H37">
            <v>28293.13</v>
          </cell>
        </row>
        <row r="38">
          <cell r="G38">
            <v>549</v>
          </cell>
          <cell r="H38">
            <v>10718.25</v>
          </cell>
        </row>
        <row r="39">
          <cell r="G39">
            <v>570</v>
          </cell>
          <cell r="H39">
            <v>7276.51</v>
          </cell>
        </row>
        <row r="40">
          <cell r="G40">
            <v>571</v>
          </cell>
          <cell r="H40">
            <v>36959.79</v>
          </cell>
        </row>
        <row r="41">
          <cell r="G41">
            <v>572</v>
          </cell>
          <cell r="H41">
            <v>14928.3</v>
          </cell>
        </row>
        <row r="42">
          <cell r="G42">
            <v>573</v>
          </cell>
          <cell r="H42">
            <v>8791.7999999999993</v>
          </cell>
        </row>
        <row r="43">
          <cell r="G43">
            <v>578</v>
          </cell>
          <cell r="H43">
            <v>17385.72</v>
          </cell>
        </row>
        <row r="44">
          <cell r="G44">
            <v>581</v>
          </cell>
          <cell r="H44">
            <v>16837.21</v>
          </cell>
        </row>
        <row r="45">
          <cell r="G45">
            <v>582</v>
          </cell>
          <cell r="H45">
            <v>48844.34</v>
          </cell>
        </row>
        <row r="46">
          <cell r="G46">
            <v>584</v>
          </cell>
          <cell r="H46">
            <v>8461.8799999999992</v>
          </cell>
        </row>
        <row r="47">
          <cell r="G47">
            <v>585</v>
          </cell>
          <cell r="H47">
            <v>25204.58</v>
          </cell>
        </row>
        <row r="48">
          <cell r="G48">
            <v>587</v>
          </cell>
          <cell r="H48">
            <v>13809.22</v>
          </cell>
        </row>
        <row r="49">
          <cell r="G49">
            <v>591</v>
          </cell>
          <cell r="H49">
            <v>9885.74</v>
          </cell>
        </row>
        <row r="50">
          <cell r="G50">
            <v>594</v>
          </cell>
          <cell r="H50">
            <v>12407.9</v>
          </cell>
        </row>
        <row r="51">
          <cell r="G51">
            <v>598</v>
          </cell>
          <cell r="H51">
            <v>16345.79</v>
          </cell>
        </row>
        <row r="52">
          <cell r="G52">
            <v>704</v>
          </cell>
          <cell r="H52">
            <v>6293.47</v>
          </cell>
        </row>
        <row r="53">
          <cell r="G53">
            <v>706</v>
          </cell>
          <cell r="H53">
            <v>9827.57</v>
          </cell>
        </row>
        <row r="54">
          <cell r="G54">
            <v>707</v>
          </cell>
          <cell r="H54">
            <v>21748.15</v>
          </cell>
        </row>
        <row r="55">
          <cell r="G55">
            <v>709</v>
          </cell>
          <cell r="H55">
            <v>15867.49</v>
          </cell>
        </row>
        <row r="56">
          <cell r="G56">
            <v>710</v>
          </cell>
          <cell r="H56">
            <v>5413.32</v>
          </cell>
        </row>
        <row r="57">
          <cell r="G57">
            <v>712</v>
          </cell>
          <cell r="H57">
            <v>32108.82</v>
          </cell>
        </row>
        <row r="58">
          <cell r="G58">
            <v>713</v>
          </cell>
          <cell r="H58">
            <v>2661.65</v>
          </cell>
        </row>
        <row r="59">
          <cell r="G59">
            <v>716</v>
          </cell>
          <cell r="H59">
            <v>6672.65</v>
          </cell>
        </row>
        <row r="60">
          <cell r="G60">
            <v>717</v>
          </cell>
          <cell r="H60">
            <v>6708.84</v>
          </cell>
        </row>
        <row r="61">
          <cell r="G61">
            <v>718</v>
          </cell>
          <cell r="H61">
            <v>6579.9</v>
          </cell>
        </row>
        <row r="62">
          <cell r="G62">
            <v>720</v>
          </cell>
          <cell r="H62">
            <v>10784.33</v>
          </cell>
        </row>
        <row r="63">
          <cell r="G63">
            <v>721</v>
          </cell>
          <cell r="H63">
            <v>13900.8</v>
          </cell>
        </row>
        <row r="64">
          <cell r="G64">
            <v>723</v>
          </cell>
          <cell r="H64">
            <v>7163.08</v>
          </cell>
        </row>
        <row r="65">
          <cell r="G65">
            <v>724</v>
          </cell>
          <cell r="H65">
            <v>22357.5</v>
          </cell>
        </row>
        <row r="66">
          <cell r="G66">
            <v>726</v>
          </cell>
          <cell r="H66">
            <v>18162.5</v>
          </cell>
        </row>
        <row r="67">
          <cell r="G67">
            <v>727</v>
          </cell>
          <cell r="H67">
            <v>8081.49</v>
          </cell>
        </row>
        <row r="68">
          <cell r="G68">
            <v>730</v>
          </cell>
          <cell r="H68">
            <v>14504.71</v>
          </cell>
        </row>
        <row r="69">
          <cell r="G69">
            <v>732</v>
          </cell>
          <cell r="H69">
            <v>5805.43</v>
          </cell>
        </row>
        <row r="70">
          <cell r="G70">
            <v>733</v>
          </cell>
          <cell r="H70">
            <v>6017.48</v>
          </cell>
        </row>
        <row r="71">
          <cell r="G71">
            <v>737</v>
          </cell>
          <cell r="H71">
            <v>14185.82</v>
          </cell>
        </row>
        <row r="72">
          <cell r="G72">
            <v>738</v>
          </cell>
          <cell r="H72">
            <v>12390.11</v>
          </cell>
        </row>
        <row r="73">
          <cell r="G73">
            <v>740</v>
          </cell>
          <cell r="H73">
            <v>8128.56</v>
          </cell>
        </row>
        <row r="74">
          <cell r="G74">
            <v>741</v>
          </cell>
          <cell r="H74">
            <v>3629.5</v>
          </cell>
        </row>
        <row r="75">
          <cell r="G75">
            <v>742</v>
          </cell>
          <cell r="H75">
            <v>20530.46</v>
          </cell>
        </row>
        <row r="76">
          <cell r="G76">
            <v>743</v>
          </cell>
          <cell r="H76">
            <v>6390.31</v>
          </cell>
        </row>
        <row r="77">
          <cell r="G77">
            <v>744</v>
          </cell>
          <cell r="H77">
            <v>5772.07</v>
          </cell>
        </row>
        <row r="78">
          <cell r="G78">
            <v>745</v>
          </cell>
          <cell r="H78">
            <v>13951.37</v>
          </cell>
        </row>
        <row r="79">
          <cell r="G79">
            <v>746</v>
          </cell>
          <cell r="H79">
            <v>8314.81</v>
          </cell>
        </row>
        <row r="80">
          <cell r="G80">
            <v>747</v>
          </cell>
          <cell r="H80">
            <v>19282.419999999998</v>
          </cell>
        </row>
        <row r="81">
          <cell r="G81">
            <v>748</v>
          </cell>
          <cell r="H81">
            <v>12701.28</v>
          </cell>
        </row>
        <row r="82">
          <cell r="G82">
            <v>750</v>
          </cell>
          <cell r="H82">
            <v>48789.99</v>
          </cell>
        </row>
        <row r="83">
          <cell r="G83">
            <v>752</v>
          </cell>
          <cell r="H83">
            <v>8345.02</v>
          </cell>
        </row>
        <row r="84">
          <cell r="G84">
            <v>753</v>
          </cell>
          <cell r="H84">
            <v>5596.42</v>
          </cell>
        </row>
        <row r="85">
          <cell r="G85">
            <v>754</v>
          </cell>
          <cell r="H85">
            <v>13411.45</v>
          </cell>
        </row>
        <row r="86">
          <cell r="G86">
            <v>755</v>
          </cell>
          <cell r="H86">
            <v>3183.73</v>
          </cell>
        </row>
        <row r="87">
          <cell r="G87">
            <v>101453</v>
          </cell>
          <cell r="H87">
            <v>19364.14</v>
          </cell>
        </row>
        <row r="88">
          <cell r="G88">
            <v>102478</v>
          </cell>
          <cell r="H88">
            <v>1926.3</v>
          </cell>
        </row>
        <row r="89">
          <cell r="G89">
            <v>102479</v>
          </cell>
          <cell r="H89">
            <v>2922.58</v>
          </cell>
        </row>
        <row r="90">
          <cell r="G90">
            <v>102564</v>
          </cell>
          <cell r="H90">
            <v>2234.23</v>
          </cell>
        </row>
        <row r="91">
          <cell r="G91">
            <v>102565</v>
          </cell>
          <cell r="H91">
            <v>10182.280000000001</v>
          </cell>
        </row>
        <row r="92">
          <cell r="G92">
            <v>102567</v>
          </cell>
          <cell r="H92">
            <v>8274.77</v>
          </cell>
        </row>
        <row r="93">
          <cell r="G93">
            <v>102934</v>
          </cell>
          <cell r="H93">
            <v>16494.45</v>
          </cell>
        </row>
        <row r="94">
          <cell r="G94">
            <v>102935</v>
          </cell>
          <cell r="H94">
            <v>5094.1499999999996</v>
          </cell>
        </row>
        <row r="95">
          <cell r="G95">
            <v>103198</v>
          </cell>
          <cell r="H95">
            <v>8510.82</v>
          </cell>
        </row>
        <row r="96">
          <cell r="G96">
            <v>103199</v>
          </cell>
          <cell r="H96">
            <v>2837.61</v>
          </cell>
        </row>
        <row r="97">
          <cell r="G97">
            <v>103639</v>
          </cell>
          <cell r="H97">
            <v>3096.14</v>
          </cell>
        </row>
        <row r="98">
          <cell r="H98">
            <v>1578638.52</v>
          </cell>
        </row>
        <row r="99">
          <cell r="G99" t="str">
            <v>总计</v>
          </cell>
          <cell r="H99">
            <v>3157277.04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任务"/>
      <sheetName val="门店完成率"/>
      <sheetName val="片区完成率"/>
      <sheetName val="Sheet4"/>
      <sheetName val="Sheet3"/>
      <sheetName val="Sheet1"/>
    </sheetNames>
    <sheetDataSet>
      <sheetData sheetId="0"/>
      <sheetData sheetId="1">
        <row r="1">
          <cell r="A1" t="str">
            <v>2018年8月门店完成率</v>
          </cell>
        </row>
        <row r="2">
          <cell r="A2" t="str">
            <v>门店ID</v>
          </cell>
          <cell r="B2" t="str">
            <v>门店名称</v>
          </cell>
          <cell r="C2" t="str">
            <v>片名称</v>
          </cell>
          <cell r="D2" t="str">
            <v>7月实际营业天数</v>
          </cell>
          <cell r="E2" t="str">
            <v>同期7月销售</v>
          </cell>
          <cell r="F2" t="str">
            <v>同期7月日均</v>
          </cell>
          <cell r="G2" t="str">
            <v>增长20%</v>
          </cell>
          <cell r="H2" t="str">
            <v>2018.5.26-6.19销售</v>
          </cell>
          <cell r="I2" t="str">
            <v>6月截止日均销售</v>
          </cell>
          <cell r="J2" t="str">
            <v>2018.06月基础任务</v>
          </cell>
          <cell r="K2" t="str">
            <v>8月日均基础任务</v>
          </cell>
          <cell r="L2" t="str">
            <v>2018.08基础总任务（31天）</v>
          </cell>
          <cell r="M2" t="str">
            <v>笔数任务</v>
          </cell>
          <cell r="N2" t="str">
            <v>8月毛利额</v>
          </cell>
          <cell r="O2" t="str">
            <v>8月增长率</v>
          </cell>
          <cell r="P2" t="str">
            <v>毛利率</v>
          </cell>
          <cell r="Q2" t="str">
            <v>客单价</v>
          </cell>
          <cell r="R2" t="str">
            <v>挑战等级</v>
          </cell>
          <cell r="S2" t="str">
            <v>挑战销售任务</v>
          </cell>
          <cell r="T2" t="str">
            <v>挑战毛利额任务</v>
          </cell>
          <cell r="U2" t="str">
            <v>实际笔数</v>
          </cell>
          <cell r="V2" t="str">
            <v>实际销售额</v>
          </cell>
          <cell r="W2" t="str">
            <v>实际毛利额</v>
          </cell>
          <cell r="X2" t="str">
            <v>笔数完成率</v>
          </cell>
          <cell r="Y2" t="str">
            <v>基础完成率</v>
          </cell>
        </row>
        <row r="3">
          <cell r="A3">
            <v>582</v>
          </cell>
          <cell r="B3" t="str">
            <v>十二桥药店</v>
          </cell>
          <cell r="C3" t="str">
            <v>西北片</v>
          </cell>
          <cell r="D3">
            <v>30</v>
          </cell>
          <cell r="E3">
            <v>558892.56000000006</v>
          </cell>
          <cell r="F3">
            <v>18630</v>
          </cell>
          <cell r="G3">
            <v>22356</v>
          </cell>
          <cell r="H3">
            <v>590773.29</v>
          </cell>
          <cell r="I3">
            <v>23630.9316</v>
          </cell>
          <cell r="J3">
            <v>24500</v>
          </cell>
          <cell r="K3">
            <v>25000</v>
          </cell>
          <cell r="L3">
            <v>775000</v>
          </cell>
          <cell r="M3">
            <v>6115.8459595959603</v>
          </cell>
          <cell r="N3">
            <v>196772.5</v>
          </cell>
          <cell r="O3">
            <v>-9.4000000000000004E-3</v>
          </cell>
          <cell r="P3" t="str">
            <v>25.39%</v>
          </cell>
          <cell r="Q3">
            <v>126.72</v>
          </cell>
          <cell r="R3">
            <v>1</v>
          </cell>
          <cell r="S3">
            <v>798250</v>
          </cell>
          <cell r="T3">
            <v>202675.67499999999</v>
          </cell>
          <cell r="U3">
            <v>7027</v>
          </cell>
          <cell r="V3">
            <v>805420.87</v>
          </cell>
          <cell r="W3">
            <v>210919.89</v>
          </cell>
          <cell r="X3">
            <v>1.1489825032258101</v>
          </cell>
          <cell r="Y3">
            <v>1.0392527354838701</v>
          </cell>
        </row>
        <row r="4">
          <cell r="A4">
            <v>343</v>
          </cell>
          <cell r="B4" t="str">
            <v>光华药店</v>
          </cell>
          <cell r="C4" t="str">
            <v>西北片</v>
          </cell>
          <cell r="D4">
            <v>30</v>
          </cell>
          <cell r="E4">
            <v>523760.35</v>
          </cell>
          <cell r="F4">
            <v>17459</v>
          </cell>
          <cell r="G4">
            <v>20950.8</v>
          </cell>
          <cell r="H4">
            <v>488464.93</v>
          </cell>
          <cell r="I4">
            <v>19538.5972</v>
          </cell>
          <cell r="J4">
            <v>20000</v>
          </cell>
          <cell r="K4">
            <v>20000</v>
          </cell>
          <cell r="L4">
            <v>620000</v>
          </cell>
          <cell r="M4">
            <v>5203.9617257008604</v>
          </cell>
          <cell r="N4">
            <v>176204</v>
          </cell>
          <cell r="O4">
            <v>-0.03</v>
          </cell>
          <cell r="P4" t="str">
            <v>28.42%</v>
          </cell>
          <cell r="Q4">
            <v>119.14</v>
          </cell>
          <cell r="R4">
            <v>1</v>
          </cell>
          <cell r="S4">
            <v>638600</v>
          </cell>
          <cell r="T4">
            <v>181490.12</v>
          </cell>
          <cell r="U4">
            <v>5037</v>
          </cell>
          <cell r="V4">
            <v>582697.28</v>
          </cell>
          <cell r="W4">
            <v>164068.6</v>
          </cell>
          <cell r="X4">
            <v>0.96791641935483796</v>
          </cell>
          <cell r="Y4">
            <v>0.93983432258064503</v>
          </cell>
        </row>
        <row r="5">
          <cell r="A5">
            <v>581</v>
          </cell>
          <cell r="B5" t="str">
            <v>汇融名城店</v>
          </cell>
          <cell r="C5" t="str">
            <v>西北片</v>
          </cell>
          <cell r="D5">
            <v>30</v>
          </cell>
          <cell r="E5">
            <v>239887.46</v>
          </cell>
          <cell r="F5">
            <v>7996</v>
          </cell>
          <cell r="G5">
            <v>9595.2000000000007</v>
          </cell>
          <cell r="H5">
            <v>235288.37</v>
          </cell>
          <cell r="I5">
            <v>9411.5347999999994</v>
          </cell>
          <cell r="J5">
            <v>9200</v>
          </cell>
          <cell r="K5">
            <v>9500</v>
          </cell>
          <cell r="L5">
            <v>294500</v>
          </cell>
          <cell r="M5">
            <v>4629.7751925797802</v>
          </cell>
          <cell r="N5">
            <v>99099.25</v>
          </cell>
          <cell r="O5">
            <v>-7.1578947368421096E-3</v>
          </cell>
          <cell r="P5" t="str">
            <v>33.65%</v>
          </cell>
          <cell r="Q5">
            <v>63.61</v>
          </cell>
          <cell r="R5">
            <v>1</v>
          </cell>
          <cell r="S5">
            <v>306280</v>
          </cell>
          <cell r="T5">
            <v>103063.22</v>
          </cell>
          <cell r="U5">
            <v>6418</v>
          </cell>
          <cell r="V5">
            <v>308539.13</v>
          </cell>
          <cell r="W5">
            <v>101083.15</v>
          </cell>
          <cell r="X5">
            <v>1.3862444142614601</v>
          </cell>
          <cell r="Y5">
            <v>1.04767106960951</v>
          </cell>
        </row>
        <row r="6">
          <cell r="A6">
            <v>730</v>
          </cell>
          <cell r="B6" t="str">
            <v>繁江北路药店</v>
          </cell>
          <cell r="C6" t="str">
            <v>西北片</v>
          </cell>
          <cell r="D6">
            <v>30</v>
          </cell>
          <cell r="E6">
            <v>233819.03</v>
          </cell>
          <cell r="F6">
            <v>7794</v>
          </cell>
          <cell r="G6">
            <v>9352.7999999999993</v>
          </cell>
          <cell r="H6">
            <v>219909.21</v>
          </cell>
          <cell r="I6">
            <v>8796.3683999999994</v>
          </cell>
          <cell r="J6">
            <v>9000</v>
          </cell>
          <cell r="K6">
            <v>7000</v>
          </cell>
          <cell r="L6">
            <v>168000</v>
          </cell>
          <cell r="M6">
            <v>2410.0399822301201</v>
          </cell>
          <cell r="N6">
            <v>64883</v>
          </cell>
          <cell r="O6">
            <v>-0.33714285714285702</v>
          </cell>
          <cell r="P6" t="str">
            <v>29.9%</v>
          </cell>
          <cell r="Q6">
            <v>90.04</v>
          </cell>
          <cell r="R6">
            <v>1</v>
          </cell>
          <cell r="S6">
            <v>174720</v>
          </cell>
          <cell r="T6">
            <v>52241.279999999999</v>
          </cell>
          <cell r="U6">
            <v>2851</v>
          </cell>
          <cell r="V6">
            <v>187181.02</v>
          </cell>
          <cell r="W6">
            <v>49700.61</v>
          </cell>
          <cell r="X6">
            <v>1.1829679262672801</v>
          </cell>
          <cell r="Y6">
            <v>1.11417273809524</v>
          </cell>
        </row>
        <row r="7">
          <cell r="A7">
            <v>359</v>
          </cell>
          <cell r="B7" t="str">
            <v>枣子巷药店</v>
          </cell>
          <cell r="C7" t="str">
            <v>西北片</v>
          </cell>
          <cell r="D7">
            <v>30</v>
          </cell>
          <cell r="E7">
            <v>237723.97</v>
          </cell>
          <cell r="F7">
            <v>7924</v>
          </cell>
          <cell r="G7">
            <v>9508.7999999999993</v>
          </cell>
          <cell r="H7">
            <v>205370.77</v>
          </cell>
          <cell r="I7">
            <v>8214.8307999999997</v>
          </cell>
          <cell r="J7">
            <v>9000</v>
          </cell>
          <cell r="K7">
            <v>9000</v>
          </cell>
          <cell r="L7">
            <v>279000</v>
          </cell>
          <cell r="M7">
            <v>4193.59687359086</v>
          </cell>
          <cell r="N7">
            <v>92321.1</v>
          </cell>
          <cell r="O7">
            <v>-0.04</v>
          </cell>
          <cell r="P7" t="str">
            <v>33.09%</v>
          </cell>
          <cell r="Q7">
            <v>66.53</v>
          </cell>
          <cell r="R7">
            <v>1</v>
          </cell>
          <cell r="S7">
            <v>290160</v>
          </cell>
          <cell r="T7">
            <v>96013.944000000003</v>
          </cell>
          <cell r="U7">
            <v>4266</v>
          </cell>
          <cell r="V7">
            <v>244720.9</v>
          </cell>
          <cell r="W7">
            <v>77579.960000000006</v>
          </cell>
          <cell r="X7">
            <v>1.0172651612903201</v>
          </cell>
          <cell r="Y7">
            <v>0.87713584229390695</v>
          </cell>
        </row>
        <row r="8">
          <cell r="A8">
            <v>365</v>
          </cell>
          <cell r="B8" t="str">
            <v>光华村街药店</v>
          </cell>
          <cell r="C8" t="str">
            <v>西北片</v>
          </cell>
          <cell r="D8">
            <v>30</v>
          </cell>
          <cell r="E8">
            <v>270913.99</v>
          </cell>
          <cell r="F8">
            <v>9030</v>
          </cell>
          <cell r="G8">
            <v>10836</v>
          </cell>
          <cell r="H8">
            <v>201959.48</v>
          </cell>
          <cell r="I8">
            <v>8078.3792000000003</v>
          </cell>
          <cell r="J8">
            <v>9800</v>
          </cell>
          <cell r="K8">
            <v>9800</v>
          </cell>
          <cell r="L8">
            <v>303800</v>
          </cell>
          <cell r="M8">
            <v>4032.92181069959</v>
          </cell>
          <cell r="N8">
            <v>98552.72</v>
          </cell>
          <cell r="O8">
            <v>-0.04</v>
          </cell>
          <cell r="P8" t="str">
            <v>32.44%</v>
          </cell>
          <cell r="Q8">
            <v>75.33</v>
          </cell>
          <cell r="R8">
            <v>1</v>
          </cell>
          <cell r="S8">
            <v>315952</v>
          </cell>
          <cell r="T8">
            <v>102494.8288</v>
          </cell>
          <cell r="U8">
            <v>3650</v>
          </cell>
          <cell r="V8">
            <v>256554.06</v>
          </cell>
          <cell r="W8">
            <v>81109.86</v>
          </cell>
          <cell r="X8">
            <v>0.90505102040816299</v>
          </cell>
          <cell r="Y8">
            <v>0.84448341013824901</v>
          </cell>
        </row>
        <row r="9">
          <cell r="A9">
            <v>513</v>
          </cell>
          <cell r="B9" t="str">
            <v>武侯区顺和街店</v>
          </cell>
          <cell r="C9" t="str">
            <v>西北片</v>
          </cell>
          <cell r="D9">
            <v>30</v>
          </cell>
          <cell r="E9">
            <v>215180.6</v>
          </cell>
          <cell r="F9">
            <v>7173</v>
          </cell>
          <cell r="G9">
            <v>8607.6</v>
          </cell>
          <cell r="H9">
            <v>225946.96</v>
          </cell>
          <cell r="I9">
            <v>9037.8783999999996</v>
          </cell>
          <cell r="J9">
            <v>7400</v>
          </cell>
          <cell r="K9">
            <v>8500</v>
          </cell>
          <cell r="L9">
            <v>263500</v>
          </cell>
          <cell r="M9">
            <v>3742.8977272727302</v>
          </cell>
          <cell r="N9">
            <v>84267.3</v>
          </cell>
          <cell r="O9">
            <v>9.4588235294117695E-2</v>
          </cell>
          <cell r="P9" t="str">
            <v>31.98%</v>
          </cell>
          <cell r="Q9">
            <v>70.400000000000006</v>
          </cell>
          <cell r="R9">
            <v>1</v>
          </cell>
          <cell r="S9">
            <v>274040</v>
          </cell>
          <cell r="T9">
            <v>87637.991999999998</v>
          </cell>
          <cell r="U9">
            <v>3823</v>
          </cell>
          <cell r="V9">
            <v>251139.5</v>
          </cell>
          <cell r="W9">
            <v>79343.539999999994</v>
          </cell>
          <cell r="X9">
            <v>1.02140113851992</v>
          </cell>
          <cell r="Y9">
            <v>0.95309108159392797</v>
          </cell>
        </row>
        <row r="10">
          <cell r="A10">
            <v>726</v>
          </cell>
          <cell r="B10" t="str">
            <v>交大路第三药店</v>
          </cell>
          <cell r="C10" t="str">
            <v>西北片</v>
          </cell>
          <cell r="D10">
            <v>30</v>
          </cell>
          <cell r="E10">
            <v>291309.31</v>
          </cell>
          <cell r="F10">
            <v>9710</v>
          </cell>
          <cell r="G10">
            <v>11652</v>
          </cell>
          <cell r="H10">
            <v>204506.23999999999</v>
          </cell>
          <cell r="I10">
            <v>8180.2496000000001</v>
          </cell>
          <cell r="J10">
            <v>9000</v>
          </cell>
          <cell r="K10">
            <v>9000</v>
          </cell>
          <cell r="L10">
            <v>279000</v>
          </cell>
          <cell r="M10">
            <v>3799.5369739888301</v>
          </cell>
          <cell r="N10">
            <v>90898.2</v>
          </cell>
          <cell r="O10">
            <v>-0.04</v>
          </cell>
          <cell r="P10" t="str">
            <v>32.58%</v>
          </cell>
          <cell r="Q10">
            <v>73.430000000000007</v>
          </cell>
          <cell r="R10">
            <v>1</v>
          </cell>
          <cell r="S10">
            <v>290160</v>
          </cell>
          <cell r="T10">
            <v>94534.127999999997</v>
          </cell>
          <cell r="U10">
            <v>3686</v>
          </cell>
          <cell r="V10">
            <v>238364.09</v>
          </cell>
          <cell r="W10">
            <v>75596.789999999994</v>
          </cell>
          <cell r="X10">
            <v>0.97011820788530501</v>
          </cell>
          <cell r="Y10">
            <v>0.85435157706093201</v>
          </cell>
        </row>
        <row r="11">
          <cell r="A11">
            <v>709</v>
          </cell>
          <cell r="B11" t="str">
            <v>新都区马超东路店</v>
          </cell>
          <cell r="C11" t="str">
            <v>西北片</v>
          </cell>
          <cell r="D11">
            <v>30</v>
          </cell>
          <cell r="E11">
            <v>59756.91</v>
          </cell>
          <cell r="F11">
            <v>1992</v>
          </cell>
          <cell r="G11">
            <v>2390.4</v>
          </cell>
          <cell r="H11">
            <v>182380.41</v>
          </cell>
          <cell r="I11">
            <v>7295.2164000000002</v>
          </cell>
          <cell r="J11">
            <v>6300</v>
          </cell>
          <cell r="K11">
            <v>7500</v>
          </cell>
          <cell r="L11">
            <v>232500</v>
          </cell>
          <cell r="M11">
            <v>3167.1434409480999</v>
          </cell>
          <cell r="N11">
            <v>73005</v>
          </cell>
          <cell r="O11">
            <v>0.12640000000000001</v>
          </cell>
          <cell r="P11" t="str">
            <v>31.4%</v>
          </cell>
          <cell r="Q11">
            <v>73.41</v>
          </cell>
          <cell r="R11">
            <v>1</v>
          </cell>
          <cell r="S11">
            <v>241800</v>
          </cell>
          <cell r="T11">
            <v>75925.2</v>
          </cell>
          <cell r="U11">
            <v>3128</v>
          </cell>
          <cell r="V11">
            <v>207187.8</v>
          </cell>
          <cell r="W11">
            <v>68667.86</v>
          </cell>
          <cell r="X11">
            <v>0.98764077419354801</v>
          </cell>
          <cell r="Y11">
            <v>0.89113032258064495</v>
          </cell>
        </row>
        <row r="12">
          <cell r="A12">
            <v>357</v>
          </cell>
          <cell r="B12" t="str">
            <v>清江东路药店</v>
          </cell>
          <cell r="C12" t="str">
            <v>西北片</v>
          </cell>
          <cell r="D12">
            <v>30</v>
          </cell>
          <cell r="E12">
            <v>164894.85</v>
          </cell>
          <cell r="F12">
            <v>5496</v>
          </cell>
          <cell r="G12">
            <v>6595.2</v>
          </cell>
          <cell r="H12">
            <v>160608.32999999999</v>
          </cell>
          <cell r="I12">
            <v>6424.3332</v>
          </cell>
          <cell r="J12">
            <v>6600</v>
          </cell>
          <cell r="K12">
            <v>6600</v>
          </cell>
          <cell r="L12">
            <v>204600</v>
          </cell>
          <cell r="M12">
            <v>2144.4293051042901</v>
          </cell>
          <cell r="N12">
            <v>56060.4</v>
          </cell>
          <cell r="O12">
            <v>-0.04</v>
          </cell>
          <cell r="P12" t="str">
            <v>27.4%</v>
          </cell>
          <cell r="Q12">
            <v>95.41</v>
          </cell>
          <cell r="R12">
            <v>1</v>
          </cell>
          <cell r="S12">
            <v>197780</v>
          </cell>
          <cell r="T12">
            <v>58302.815999999999</v>
          </cell>
          <cell r="U12">
            <v>2366</v>
          </cell>
          <cell r="V12">
            <v>224857.41</v>
          </cell>
          <cell r="W12">
            <v>60034.98</v>
          </cell>
          <cell r="X12">
            <v>1.1033238514174</v>
          </cell>
          <cell r="Y12">
            <v>1.0990098240469199</v>
          </cell>
        </row>
        <row r="13">
          <cell r="A13">
            <v>585</v>
          </cell>
          <cell r="B13" t="str">
            <v>羊子山西路药店</v>
          </cell>
          <cell r="C13" t="str">
            <v>西北片</v>
          </cell>
          <cell r="D13">
            <v>30</v>
          </cell>
          <cell r="E13">
            <v>277150.53999999998</v>
          </cell>
          <cell r="F13">
            <v>9238</v>
          </cell>
          <cell r="G13">
            <v>11085.6</v>
          </cell>
          <cell r="H13">
            <v>117907.02</v>
          </cell>
          <cell r="I13">
            <v>4716.2808000000005</v>
          </cell>
          <cell r="J13">
            <v>9600</v>
          </cell>
          <cell r="K13">
            <v>9600</v>
          </cell>
          <cell r="L13">
            <v>297600</v>
          </cell>
          <cell r="M13">
            <v>3746.2235649546801</v>
          </cell>
          <cell r="N13">
            <v>93476.160000000003</v>
          </cell>
          <cell r="O13">
            <v>-0.04</v>
          </cell>
          <cell r="P13" t="str">
            <v>31.41%</v>
          </cell>
          <cell r="Q13">
            <v>79.44</v>
          </cell>
          <cell r="R13">
            <v>1</v>
          </cell>
          <cell r="S13">
            <v>309504</v>
          </cell>
          <cell r="T13">
            <v>97215.206399999995</v>
          </cell>
          <cell r="U13">
            <v>4173</v>
          </cell>
          <cell r="V13">
            <v>298002.59999999998</v>
          </cell>
          <cell r="W13">
            <v>95459.16</v>
          </cell>
          <cell r="X13">
            <v>1.1139217741935501</v>
          </cell>
          <cell r="Y13">
            <v>1.0013528225806501</v>
          </cell>
        </row>
        <row r="14">
          <cell r="A14">
            <v>379</v>
          </cell>
          <cell r="B14" t="str">
            <v>土龙路药店</v>
          </cell>
          <cell r="C14" t="str">
            <v>西北片</v>
          </cell>
          <cell r="D14">
            <v>30</v>
          </cell>
          <cell r="E14">
            <v>171252.27</v>
          </cell>
          <cell r="F14">
            <v>5708</v>
          </cell>
          <cell r="G14">
            <v>6849.6</v>
          </cell>
          <cell r="H14">
            <v>145219.99</v>
          </cell>
          <cell r="I14">
            <v>5808.7996000000003</v>
          </cell>
          <cell r="J14">
            <v>6000</v>
          </cell>
          <cell r="K14">
            <v>6000</v>
          </cell>
          <cell r="L14">
            <v>186000</v>
          </cell>
          <cell r="M14">
            <v>2769.50565812984</v>
          </cell>
          <cell r="N14">
            <v>53326.2</v>
          </cell>
          <cell r="O14">
            <v>-0.04</v>
          </cell>
          <cell r="P14" t="str">
            <v>28.67%</v>
          </cell>
          <cell r="Q14">
            <v>67.16</v>
          </cell>
          <cell r="R14">
            <v>1</v>
          </cell>
          <cell r="S14">
            <v>193440</v>
          </cell>
          <cell r="T14">
            <v>55459.248</v>
          </cell>
          <cell r="U14">
            <v>3006</v>
          </cell>
          <cell r="V14">
            <v>191641.33</v>
          </cell>
          <cell r="W14">
            <v>51720.19</v>
          </cell>
          <cell r="X14">
            <v>1.0853922580645201</v>
          </cell>
          <cell r="Y14">
            <v>1.0303297311827999</v>
          </cell>
        </row>
        <row r="15">
          <cell r="A15">
            <v>311</v>
          </cell>
          <cell r="B15" t="str">
            <v>西部店</v>
          </cell>
          <cell r="C15" t="str">
            <v>西北片</v>
          </cell>
          <cell r="D15">
            <v>30</v>
          </cell>
          <cell r="E15">
            <v>280522.75</v>
          </cell>
          <cell r="F15">
            <v>9351</v>
          </cell>
          <cell r="G15">
            <v>11221.2</v>
          </cell>
          <cell r="H15">
            <v>152367.17000000001</v>
          </cell>
          <cell r="I15">
            <v>6094.6868000000004</v>
          </cell>
          <cell r="J15">
            <v>5500</v>
          </cell>
          <cell r="K15">
            <v>5500</v>
          </cell>
          <cell r="L15">
            <v>170500</v>
          </cell>
          <cell r="M15">
            <v>786.65682384423701</v>
          </cell>
          <cell r="N15">
            <v>37510</v>
          </cell>
          <cell r="O15">
            <v>-0.04</v>
          </cell>
          <cell r="P15">
            <v>0.22</v>
          </cell>
          <cell r="Q15">
            <v>216.74</v>
          </cell>
          <cell r="R15">
            <v>1</v>
          </cell>
          <cell r="S15">
            <v>177320</v>
          </cell>
          <cell r="T15">
            <v>39010.400000000001</v>
          </cell>
          <cell r="U15">
            <v>982</v>
          </cell>
          <cell r="V15">
            <v>188616.07</v>
          </cell>
          <cell r="W15">
            <v>45964.15</v>
          </cell>
          <cell r="X15">
            <v>1.2483207038123201</v>
          </cell>
          <cell r="Y15">
            <v>1.10625260997067</v>
          </cell>
        </row>
        <row r="16">
          <cell r="A16">
            <v>745</v>
          </cell>
          <cell r="B16" t="str">
            <v>金沙路药店</v>
          </cell>
          <cell r="C16" t="str">
            <v>西北片</v>
          </cell>
          <cell r="D16">
            <v>30</v>
          </cell>
          <cell r="E16">
            <v>134591.39000000001</v>
          </cell>
          <cell r="F16">
            <v>4486</v>
          </cell>
          <cell r="G16">
            <v>5383.2</v>
          </cell>
          <cell r="H16">
            <v>106499.62</v>
          </cell>
          <cell r="I16">
            <v>4259.9848000000002</v>
          </cell>
          <cell r="J16">
            <v>5000</v>
          </cell>
          <cell r="K16">
            <v>5000</v>
          </cell>
          <cell r="L16">
            <v>155000</v>
          </cell>
          <cell r="M16">
            <v>2214.9185481566201</v>
          </cell>
          <cell r="N16">
            <v>49848</v>
          </cell>
          <cell r="O16">
            <v>-0.04</v>
          </cell>
          <cell r="P16" t="str">
            <v>32.16%</v>
          </cell>
          <cell r="Q16">
            <v>69.98</v>
          </cell>
          <cell r="R16">
            <v>1</v>
          </cell>
          <cell r="S16">
            <v>161200</v>
          </cell>
          <cell r="T16">
            <v>51841.919999999998</v>
          </cell>
          <cell r="U16">
            <v>2070</v>
          </cell>
          <cell r="V16">
            <v>126783</v>
          </cell>
          <cell r="W16">
            <v>39865.93</v>
          </cell>
          <cell r="X16">
            <v>0.93457161290322399</v>
          </cell>
          <cell r="Y16">
            <v>0.817954838709677</v>
          </cell>
        </row>
        <row r="17">
          <cell r="A17">
            <v>347</v>
          </cell>
          <cell r="B17" t="str">
            <v>清江东路2药店</v>
          </cell>
          <cell r="C17" t="str">
            <v>西北片</v>
          </cell>
          <cell r="D17">
            <v>30</v>
          </cell>
          <cell r="E17">
            <v>144842.74</v>
          </cell>
          <cell r="F17">
            <v>4828</v>
          </cell>
          <cell r="G17">
            <v>5793.6</v>
          </cell>
          <cell r="H17">
            <v>118177.94</v>
          </cell>
          <cell r="I17">
            <v>4727.1175999999996</v>
          </cell>
          <cell r="J17">
            <v>5600</v>
          </cell>
          <cell r="K17">
            <v>5000</v>
          </cell>
          <cell r="L17">
            <v>155000</v>
          </cell>
          <cell r="M17">
            <v>2018.7548840843999</v>
          </cell>
          <cell r="N17">
            <v>49848</v>
          </cell>
          <cell r="O17">
            <v>-0.1648</v>
          </cell>
          <cell r="P17" t="str">
            <v>32.16%</v>
          </cell>
          <cell r="Q17">
            <v>76.78</v>
          </cell>
          <cell r="R17">
            <v>1</v>
          </cell>
          <cell r="S17">
            <v>161200</v>
          </cell>
          <cell r="T17">
            <v>51841.919999999998</v>
          </cell>
          <cell r="U17">
            <v>2482</v>
          </cell>
          <cell r="V17">
            <v>124527.5</v>
          </cell>
          <cell r="W17">
            <v>39307.67</v>
          </cell>
          <cell r="X17">
            <v>1.22947070967742</v>
          </cell>
          <cell r="Y17">
            <v>0.80340322580645196</v>
          </cell>
        </row>
        <row r="18">
          <cell r="A18">
            <v>570</v>
          </cell>
          <cell r="B18" t="str">
            <v>浣花滨河路药店</v>
          </cell>
          <cell r="C18" t="str">
            <v>西北片</v>
          </cell>
          <cell r="D18">
            <v>30</v>
          </cell>
          <cell r="E18">
            <v>107013.59</v>
          </cell>
          <cell r="F18">
            <v>3567</v>
          </cell>
          <cell r="G18">
            <v>4280.3999999999996</v>
          </cell>
          <cell r="H18">
            <v>111817.22</v>
          </cell>
          <cell r="I18">
            <v>4472.6887999999999</v>
          </cell>
          <cell r="J18">
            <v>4600</v>
          </cell>
          <cell r="K18">
            <v>4600</v>
          </cell>
          <cell r="L18">
            <v>142600</v>
          </cell>
          <cell r="M18">
            <v>2630.5109758347198</v>
          </cell>
          <cell r="N18">
            <v>43564.3</v>
          </cell>
          <cell r="O18">
            <v>-0.04</v>
          </cell>
          <cell r="P18" t="str">
            <v>30.55%</v>
          </cell>
          <cell r="Q18">
            <v>54.21</v>
          </cell>
          <cell r="R18">
            <v>1</v>
          </cell>
          <cell r="S18">
            <v>148304</v>
          </cell>
          <cell r="T18">
            <v>45306.872000000003</v>
          </cell>
          <cell r="U18">
            <v>2565</v>
          </cell>
          <cell r="V18">
            <v>134841.34</v>
          </cell>
          <cell r="W18">
            <v>43716.18</v>
          </cell>
          <cell r="X18">
            <v>0.97509572230013897</v>
          </cell>
          <cell r="Y18">
            <v>0.94559144460028</v>
          </cell>
        </row>
        <row r="19">
          <cell r="A19">
            <v>339</v>
          </cell>
          <cell r="B19" t="str">
            <v>沙河源药店</v>
          </cell>
          <cell r="C19" t="str">
            <v>西北片</v>
          </cell>
          <cell r="D19">
            <v>30</v>
          </cell>
          <cell r="E19">
            <v>160863.85</v>
          </cell>
          <cell r="F19">
            <v>5362</v>
          </cell>
          <cell r="G19">
            <v>6434.4</v>
          </cell>
          <cell r="H19">
            <v>92005.5</v>
          </cell>
          <cell r="I19">
            <v>3680.22</v>
          </cell>
          <cell r="J19">
            <v>4200</v>
          </cell>
          <cell r="K19">
            <v>4200</v>
          </cell>
          <cell r="L19">
            <v>130200</v>
          </cell>
          <cell r="M19">
            <v>1659.02140672783</v>
          </cell>
          <cell r="N19">
            <v>39046.980000000003</v>
          </cell>
          <cell r="O19">
            <v>-0.04</v>
          </cell>
          <cell r="P19" t="str">
            <v>29.99%</v>
          </cell>
          <cell r="Q19">
            <v>78.48</v>
          </cell>
          <cell r="R19">
            <v>1</v>
          </cell>
          <cell r="S19">
            <v>135408</v>
          </cell>
          <cell r="T19">
            <v>40608.859199999999</v>
          </cell>
          <cell r="U19">
            <v>1819</v>
          </cell>
          <cell r="V19">
            <v>124632.33</v>
          </cell>
          <cell r="W19">
            <v>35652.36</v>
          </cell>
          <cell r="X19">
            <v>1.09642949308756</v>
          </cell>
          <cell r="Y19">
            <v>0.95723755760368701</v>
          </cell>
        </row>
        <row r="20">
          <cell r="A20">
            <v>727</v>
          </cell>
          <cell r="B20" t="str">
            <v>黄苑东街药店</v>
          </cell>
          <cell r="C20" t="str">
            <v>西北片</v>
          </cell>
          <cell r="D20">
            <v>30</v>
          </cell>
          <cell r="E20">
            <v>116838.62</v>
          </cell>
          <cell r="F20">
            <v>3895</v>
          </cell>
          <cell r="G20">
            <v>4674</v>
          </cell>
          <cell r="H20">
            <v>94237.06</v>
          </cell>
          <cell r="I20">
            <v>3769.4823999999999</v>
          </cell>
          <cell r="J20">
            <v>4300</v>
          </cell>
          <cell r="K20">
            <v>4300</v>
          </cell>
          <cell r="L20">
            <v>133300</v>
          </cell>
          <cell r="M20">
            <v>2318.6641154983499</v>
          </cell>
          <cell r="N20">
            <v>43229.19</v>
          </cell>
          <cell r="O20">
            <v>-0.04</v>
          </cell>
          <cell r="P20" t="str">
            <v>32.43%</v>
          </cell>
          <cell r="Q20">
            <v>57.49</v>
          </cell>
          <cell r="R20">
            <v>1</v>
          </cell>
          <cell r="S20">
            <v>138632</v>
          </cell>
          <cell r="T20">
            <v>44958.357600000003</v>
          </cell>
          <cell r="U20">
            <v>2180</v>
          </cell>
          <cell r="V20">
            <v>117046.61</v>
          </cell>
          <cell r="W20">
            <v>37321.39</v>
          </cell>
          <cell r="X20">
            <v>0.94019654913728301</v>
          </cell>
          <cell r="Y20">
            <v>0.87806909227306795</v>
          </cell>
        </row>
        <row r="21">
          <cell r="A21">
            <v>752</v>
          </cell>
          <cell r="B21" t="str">
            <v>聚萃街药店</v>
          </cell>
          <cell r="C21" t="str">
            <v>西北片</v>
          </cell>
          <cell r="D21">
            <v>30</v>
          </cell>
          <cell r="E21">
            <v>0</v>
          </cell>
          <cell r="F21">
            <v>0</v>
          </cell>
          <cell r="G21">
            <v>0</v>
          </cell>
          <cell r="H21">
            <v>90311.11</v>
          </cell>
          <cell r="I21">
            <v>3612.4443999999999</v>
          </cell>
          <cell r="J21">
            <v>2500</v>
          </cell>
          <cell r="K21">
            <v>3200</v>
          </cell>
          <cell r="L21">
            <v>99200</v>
          </cell>
          <cell r="M21">
            <v>1546.6167758029301</v>
          </cell>
          <cell r="N21">
            <v>25732.48</v>
          </cell>
          <cell r="O21">
            <v>0.171875</v>
          </cell>
          <cell r="P21" t="str">
            <v>25.94%</v>
          </cell>
          <cell r="Q21">
            <v>64.14</v>
          </cell>
          <cell r="R21">
            <v>1</v>
          </cell>
          <cell r="S21">
            <v>114692</v>
          </cell>
          <cell r="T21">
            <v>27276.428800000002</v>
          </cell>
          <cell r="U21">
            <v>1753</v>
          </cell>
          <cell r="V21">
            <v>99027.79</v>
          </cell>
          <cell r="W21">
            <v>26452.880000000001</v>
          </cell>
          <cell r="X21">
            <v>1.1334417338709699</v>
          </cell>
          <cell r="Y21">
            <v>0.99826401209677396</v>
          </cell>
        </row>
        <row r="22">
          <cell r="A22">
            <v>102934</v>
          </cell>
          <cell r="B22" t="str">
            <v>银河北街</v>
          </cell>
          <cell r="C22" t="str">
            <v>西北片</v>
          </cell>
          <cell r="D22">
            <v>30</v>
          </cell>
          <cell r="E22">
            <v>0</v>
          </cell>
          <cell r="F22">
            <v>0</v>
          </cell>
          <cell r="G22">
            <v>0</v>
          </cell>
          <cell r="H22">
            <v>62183.45</v>
          </cell>
          <cell r="I22">
            <v>2487.3380000000002</v>
          </cell>
          <cell r="J22">
            <v>3000</v>
          </cell>
          <cell r="K22">
            <v>4600</v>
          </cell>
          <cell r="L22">
            <v>142600</v>
          </cell>
          <cell r="M22">
            <v>2981</v>
          </cell>
          <cell r="N22">
            <v>44206</v>
          </cell>
          <cell r="P22">
            <v>0.31</v>
          </cell>
          <cell r="Q22">
            <v>0</v>
          </cell>
          <cell r="R22">
            <v>2</v>
          </cell>
          <cell r="S22">
            <v>154008</v>
          </cell>
          <cell r="T22">
            <v>47742.48</v>
          </cell>
          <cell r="U22">
            <v>3676</v>
          </cell>
          <cell r="V22">
            <v>219283.78</v>
          </cell>
          <cell r="W22">
            <v>61129.04</v>
          </cell>
          <cell r="X22">
            <v>1.23314324052331</v>
          </cell>
          <cell r="Y22">
            <v>1.5377544179523099</v>
          </cell>
        </row>
        <row r="23">
          <cell r="A23">
            <v>102565</v>
          </cell>
          <cell r="B23" t="str">
            <v>武侯区佳灵路</v>
          </cell>
          <cell r="C23" t="str">
            <v>西北片</v>
          </cell>
          <cell r="D23">
            <v>30</v>
          </cell>
          <cell r="E23">
            <v>0</v>
          </cell>
          <cell r="F23">
            <v>0</v>
          </cell>
          <cell r="G23">
            <v>0</v>
          </cell>
          <cell r="H23">
            <v>88650.52</v>
          </cell>
          <cell r="I23">
            <v>3546.0207999999998</v>
          </cell>
          <cell r="J23">
            <v>3000</v>
          </cell>
          <cell r="K23">
            <v>3500</v>
          </cell>
          <cell r="L23">
            <v>108500</v>
          </cell>
          <cell r="M23">
            <v>2674</v>
          </cell>
          <cell r="N23">
            <v>33635</v>
          </cell>
          <cell r="P23">
            <v>0.31</v>
          </cell>
          <cell r="Q23">
            <v>0</v>
          </cell>
          <cell r="R23">
            <v>1</v>
          </cell>
          <cell r="S23">
            <v>115010</v>
          </cell>
          <cell r="T23">
            <v>35653.1</v>
          </cell>
          <cell r="U23">
            <v>3164</v>
          </cell>
          <cell r="V23">
            <v>129060.74</v>
          </cell>
          <cell r="W23">
            <v>47074.879999999997</v>
          </cell>
          <cell r="X23">
            <v>1.18324607329843</v>
          </cell>
          <cell r="Y23">
            <v>1.1894999078341</v>
          </cell>
        </row>
        <row r="24">
          <cell r="A24">
            <v>103198</v>
          </cell>
          <cell r="B24" t="str">
            <v>贝森北路</v>
          </cell>
          <cell r="C24" t="str">
            <v>西北片</v>
          </cell>
          <cell r="D24">
            <v>30</v>
          </cell>
          <cell r="E24">
            <v>0</v>
          </cell>
          <cell r="F24">
            <v>0</v>
          </cell>
          <cell r="H24">
            <v>0</v>
          </cell>
          <cell r="J24">
            <v>0</v>
          </cell>
          <cell r="K24">
            <v>4000</v>
          </cell>
          <cell r="L24">
            <v>124000</v>
          </cell>
          <cell r="M24">
            <v>2350</v>
          </cell>
          <cell r="N24">
            <v>38440</v>
          </cell>
          <cell r="P24">
            <v>0.31</v>
          </cell>
          <cell r="Q24">
            <v>0</v>
          </cell>
          <cell r="R24">
            <v>1</v>
          </cell>
          <cell r="S24">
            <v>131440</v>
          </cell>
          <cell r="T24">
            <v>40746.400000000001</v>
          </cell>
          <cell r="U24">
            <v>2532</v>
          </cell>
          <cell r="V24">
            <v>123559.88</v>
          </cell>
          <cell r="W24">
            <v>37129.22</v>
          </cell>
          <cell r="X24">
            <v>1.0774468085106399</v>
          </cell>
          <cell r="Y24">
            <v>0.99645064516129001</v>
          </cell>
        </row>
        <row r="25">
          <cell r="A25">
            <v>741</v>
          </cell>
          <cell r="B25" t="str">
            <v>成华区新怡路店</v>
          </cell>
          <cell r="C25" t="str">
            <v>西北片</v>
          </cell>
          <cell r="D25">
            <v>30</v>
          </cell>
          <cell r="E25">
            <v>63664.51</v>
          </cell>
          <cell r="F25">
            <v>2122</v>
          </cell>
          <cell r="G25">
            <v>2546.4</v>
          </cell>
          <cell r="H25">
            <v>57279.33</v>
          </cell>
          <cell r="I25">
            <v>2291.1732000000002</v>
          </cell>
          <cell r="J25">
            <v>3000</v>
          </cell>
          <cell r="K25">
            <v>3000</v>
          </cell>
          <cell r="L25">
            <v>93000</v>
          </cell>
          <cell r="M25">
            <v>1451.9906323185</v>
          </cell>
          <cell r="N25">
            <v>25556.400000000001</v>
          </cell>
          <cell r="O25">
            <v>-0.06</v>
          </cell>
          <cell r="P25" t="str">
            <v>27.48%</v>
          </cell>
          <cell r="Q25">
            <v>64.05</v>
          </cell>
          <cell r="R25">
            <v>1</v>
          </cell>
          <cell r="S25">
            <v>98580</v>
          </cell>
          <cell r="T25">
            <v>27089.784</v>
          </cell>
          <cell r="U25">
            <v>1309</v>
          </cell>
          <cell r="V25">
            <v>69638.33</v>
          </cell>
          <cell r="W25">
            <v>22489.94</v>
          </cell>
          <cell r="X25">
            <v>0.90152096774193602</v>
          </cell>
          <cell r="Y25">
            <v>0.74879924731182801</v>
          </cell>
        </row>
        <row r="26">
          <cell r="A26">
            <v>103199</v>
          </cell>
          <cell r="B26" t="str">
            <v>西林一街店</v>
          </cell>
          <cell r="C26" t="str">
            <v>西北片</v>
          </cell>
          <cell r="K26">
            <v>2600</v>
          </cell>
          <cell r="L26">
            <v>80600</v>
          </cell>
          <cell r="M26">
            <v>2162</v>
          </cell>
          <cell r="N26">
            <v>24986</v>
          </cell>
          <cell r="O26">
            <v>0</v>
          </cell>
          <cell r="P26">
            <v>0.31</v>
          </cell>
          <cell r="Q26">
            <v>34.93</v>
          </cell>
          <cell r="R26">
            <v>1</v>
          </cell>
          <cell r="S26">
            <v>85436</v>
          </cell>
          <cell r="T26">
            <v>26485.16</v>
          </cell>
          <cell r="U26">
            <v>2162</v>
          </cell>
          <cell r="V26">
            <v>81190.33</v>
          </cell>
          <cell r="W26">
            <v>26941.46</v>
          </cell>
          <cell r="X26">
            <v>1</v>
          </cell>
          <cell r="Y26">
            <v>1.0073241935483901</v>
          </cell>
        </row>
        <row r="27">
          <cell r="A27">
            <v>307</v>
          </cell>
          <cell r="B27" t="str">
            <v>旗舰店</v>
          </cell>
          <cell r="C27" t="str">
            <v>旗舰片</v>
          </cell>
          <cell r="D27">
            <v>30</v>
          </cell>
          <cell r="E27">
            <v>1660523.87</v>
          </cell>
          <cell r="F27">
            <v>55351</v>
          </cell>
          <cell r="G27">
            <v>66421.2</v>
          </cell>
          <cell r="H27">
            <v>1349030.66</v>
          </cell>
          <cell r="I27">
            <v>53961.2264</v>
          </cell>
          <cell r="J27">
            <v>67500</v>
          </cell>
          <cell r="K27">
            <v>67500</v>
          </cell>
          <cell r="L27">
            <v>2092500</v>
          </cell>
          <cell r="M27">
            <v>14703.8156138009</v>
          </cell>
          <cell r="N27">
            <v>638421.75</v>
          </cell>
          <cell r="O27">
            <v>-3.7037037037037E-2</v>
          </cell>
          <cell r="P27" t="str">
            <v>30.51%</v>
          </cell>
          <cell r="Q27">
            <v>142.31</v>
          </cell>
          <cell r="R27">
            <v>1</v>
          </cell>
          <cell r="S27">
            <v>2155275</v>
          </cell>
          <cell r="T27">
            <v>657574.40249999997</v>
          </cell>
          <cell r="U27">
            <v>13140</v>
          </cell>
          <cell r="V27">
            <v>1680317.61</v>
          </cell>
          <cell r="W27">
            <v>512745.4</v>
          </cell>
          <cell r="X27">
            <v>0.89364559139784705</v>
          </cell>
          <cell r="Y27">
            <v>0.80301916845878096</v>
          </cell>
        </row>
        <row r="28">
          <cell r="A28">
            <v>571</v>
          </cell>
          <cell r="B28" t="str">
            <v>民丰大道西段药店</v>
          </cell>
          <cell r="C28" t="str">
            <v>东南片</v>
          </cell>
          <cell r="D28">
            <v>30</v>
          </cell>
          <cell r="E28">
            <v>454978.71</v>
          </cell>
          <cell r="F28">
            <v>15166</v>
          </cell>
          <cell r="G28">
            <v>18199.2</v>
          </cell>
          <cell r="H28">
            <v>378828.46</v>
          </cell>
          <cell r="I28">
            <v>15153.1384</v>
          </cell>
          <cell r="J28">
            <v>16500</v>
          </cell>
          <cell r="K28">
            <v>16500</v>
          </cell>
          <cell r="L28">
            <v>511500</v>
          </cell>
          <cell r="M28">
            <v>4653.3842794759803</v>
          </cell>
          <cell r="N28">
            <v>156928.20000000001</v>
          </cell>
          <cell r="O28">
            <v>-0.03</v>
          </cell>
          <cell r="P28" t="str">
            <v>30.68%</v>
          </cell>
          <cell r="Q28">
            <v>109.92</v>
          </cell>
          <cell r="R28">
            <v>1</v>
          </cell>
          <cell r="S28">
            <v>526845</v>
          </cell>
          <cell r="T28">
            <v>161636.046</v>
          </cell>
          <cell r="U28">
            <v>4960</v>
          </cell>
          <cell r="V28">
            <v>460251.75</v>
          </cell>
          <cell r="W28">
            <v>141741.44</v>
          </cell>
          <cell r="X28">
            <v>1.0658909090909101</v>
          </cell>
          <cell r="Y28">
            <v>0.89980791788856296</v>
          </cell>
        </row>
        <row r="29">
          <cell r="A29">
            <v>750</v>
          </cell>
          <cell r="B29" t="str">
            <v>成汉太极大药房</v>
          </cell>
          <cell r="C29" t="str">
            <v>东南片</v>
          </cell>
          <cell r="D29">
            <v>30</v>
          </cell>
          <cell r="E29">
            <v>73694.23</v>
          </cell>
          <cell r="F29">
            <v>2456</v>
          </cell>
          <cell r="G29">
            <v>2947.2</v>
          </cell>
          <cell r="H29">
            <v>303806.99</v>
          </cell>
          <cell r="I29">
            <v>12152.2796</v>
          </cell>
          <cell r="J29">
            <v>13000</v>
          </cell>
          <cell r="K29">
            <v>14000</v>
          </cell>
          <cell r="L29">
            <v>434000</v>
          </cell>
          <cell r="M29">
            <v>5320.5835478729896</v>
          </cell>
          <cell r="N29">
            <v>155589</v>
          </cell>
          <cell r="O29">
            <v>4.3571428571428601E-2</v>
          </cell>
          <cell r="P29" t="str">
            <v>35.85%</v>
          </cell>
          <cell r="Q29">
            <v>81.569999999999993</v>
          </cell>
          <cell r="R29">
            <v>1</v>
          </cell>
          <cell r="S29">
            <v>447020</v>
          </cell>
          <cell r="T29">
            <v>160256.67000000001</v>
          </cell>
          <cell r="U29">
            <v>5544</v>
          </cell>
          <cell r="V29">
            <v>422297.27</v>
          </cell>
          <cell r="W29">
            <v>153594.46</v>
          </cell>
          <cell r="X29">
            <v>1.0419909677419401</v>
          </cell>
          <cell r="Y29">
            <v>0.97303518433179703</v>
          </cell>
        </row>
        <row r="30">
          <cell r="A30">
            <v>712</v>
          </cell>
          <cell r="B30" t="str">
            <v>华泰路药店</v>
          </cell>
          <cell r="C30" t="str">
            <v>东南片</v>
          </cell>
          <cell r="D30">
            <v>30</v>
          </cell>
          <cell r="E30">
            <v>141604.07999999999</v>
          </cell>
          <cell r="F30">
            <v>4720</v>
          </cell>
          <cell r="G30">
            <v>5664</v>
          </cell>
          <cell r="H30">
            <v>290584.59999999998</v>
          </cell>
          <cell r="I30">
            <v>11623.384</v>
          </cell>
          <cell r="J30">
            <v>12000</v>
          </cell>
          <cell r="K30">
            <v>12000</v>
          </cell>
          <cell r="L30">
            <v>372000</v>
          </cell>
          <cell r="M30">
            <v>5372.6169844020797</v>
          </cell>
          <cell r="N30">
            <v>127335.6</v>
          </cell>
          <cell r="O30">
            <v>-0.03</v>
          </cell>
          <cell r="P30" t="str">
            <v>34.23%</v>
          </cell>
          <cell r="Q30">
            <v>69.239999999999995</v>
          </cell>
          <cell r="R30">
            <v>1</v>
          </cell>
          <cell r="S30">
            <v>383160</v>
          </cell>
          <cell r="T30">
            <v>131155.66800000001</v>
          </cell>
          <cell r="U30">
            <v>5686</v>
          </cell>
          <cell r="V30">
            <v>376315.15</v>
          </cell>
          <cell r="W30">
            <v>128615.88</v>
          </cell>
          <cell r="X30">
            <v>1.05832967741935</v>
          </cell>
          <cell r="Y30">
            <v>1.0115998655914</v>
          </cell>
        </row>
        <row r="31">
          <cell r="A31">
            <v>387</v>
          </cell>
          <cell r="B31" t="str">
            <v>新乐中街药店</v>
          </cell>
          <cell r="C31" t="str">
            <v>东南片</v>
          </cell>
          <cell r="D31">
            <v>30</v>
          </cell>
          <cell r="E31">
            <v>294586.74</v>
          </cell>
          <cell r="F31">
            <v>9820</v>
          </cell>
          <cell r="G31">
            <v>11784</v>
          </cell>
          <cell r="H31">
            <v>249838.09</v>
          </cell>
          <cell r="I31">
            <v>9993.5236000000004</v>
          </cell>
          <cell r="J31">
            <v>10500</v>
          </cell>
          <cell r="K31">
            <v>10500</v>
          </cell>
          <cell r="L31">
            <v>325500</v>
          </cell>
          <cell r="M31">
            <v>4480.3854094975904</v>
          </cell>
          <cell r="N31">
            <v>94980.9</v>
          </cell>
          <cell r="O31">
            <v>-0.03</v>
          </cell>
          <cell r="P31" t="str">
            <v>29.18%</v>
          </cell>
          <cell r="Q31">
            <v>72.650000000000006</v>
          </cell>
          <cell r="R31">
            <v>1</v>
          </cell>
          <cell r="S31">
            <v>335265</v>
          </cell>
          <cell r="T31">
            <v>97830.327000000005</v>
          </cell>
          <cell r="U31">
            <v>4522</v>
          </cell>
          <cell r="V31">
            <v>294049.99</v>
          </cell>
          <cell r="W31">
            <v>84397.94</v>
          </cell>
          <cell r="X31">
            <v>1.00928817204301</v>
          </cell>
          <cell r="Y31">
            <v>0.90337938556067598</v>
          </cell>
        </row>
        <row r="32">
          <cell r="A32">
            <v>707</v>
          </cell>
          <cell r="B32" t="str">
            <v>万科路药店</v>
          </cell>
          <cell r="C32" t="str">
            <v>东南片</v>
          </cell>
          <cell r="D32">
            <v>30</v>
          </cell>
          <cell r="E32">
            <v>199705.13</v>
          </cell>
          <cell r="F32">
            <v>6657</v>
          </cell>
          <cell r="G32">
            <v>7988.4</v>
          </cell>
          <cell r="H32">
            <v>251410.69</v>
          </cell>
          <cell r="I32">
            <v>10056.427600000001</v>
          </cell>
          <cell r="J32">
            <v>10000</v>
          </cell>
          <cell r="K32">
            <v>10000</v>
          </cell>
          <cell r="L32">
            <v>310000</v>
          </cell>
          <cell r="M32">
            <v>4468.79054346259</v>
          </cell>
          <cell r="N32">
            <v>100099</v>
          </cell>
          <cell r="O32">
            <v>-0.04</v>
          </cell>
          <cell r="P32" t="str">
            <v>32.29%</v>
          </cell>
          <cell r="Q32">
            <v>69.37</v>
          </cell>
          <cell r="R32">
            <v>1</v>
          </cell>
          <cell r="S32">
            <v>322400</v>
          </cell>
          <cell r="T32">
            <v>104102.96</v>
          </cell>
          <cell r="U32">
            <v>4821</v>
          </cell>
          <cell r="V32">
            <v>358338.22</v>
          </cell>
          <cell r="W32">
            <v>111822.88</v>
          </cell>
          <cell r="X32">
            <v>1.0788153870967701</v>
          </cell>
          <cell r="Y32">
            <v>1.1559297419354799</v>
          </cell>
        </row>
        <row r="33">
          <cell r="A33">
            <v>546</v>
          </cell>
          <cell r="B33" t="str">
            <v>榕声路店</v>
          </cell>
          <cell r="C33" t="str">
            <v>东南片</v>
          </cell>
          <cell r="D33">
            <v>30</v>
          </cell>
          <cell r="E33">
            <v>205208.88</v>
          </cell>
          <cell r="F33">
            <v>6840</v>
          </cell>
          <cell r="G33">
            <v>8208</v>
          </cell>
          <cell r="H33">
            <v>217121.06</v>
          </cell>
          <cell r="I33">
            <v>8684.8423999999995</v>
          </cell>
          <cell r="J33">
            <v>9300</v>
          </cell>
          <cell r="K33">
            <v>9300</v>
          </cell>
          <cell r="L33">
            <v>288300</v>
          </cell>
          <cell r="M33">
            <v>4300.4176610978502</v>
          </cell>
          <cell r="N33">
            <v>101914.05</v>
          </cell>
          <cell r="O33">
            <v>-0.04</v>
          </cell>
          <cell r="P33" t="str">
            <v>35.35%</v>
          </cell>
          <cell r="Q33">
            <v>67.040000000000006</v>
          </cell>
          <cell r="R33">
            <v>1</v>
          </cell>
          <cell r="S33">
            <v>299832</v>
          </cell>
          <cell r="T33">
            <v>105990.61199999999</v>
          </cell>
          <cell r="U33">
            <v>4477</v>
          </cell>
          <cell r="V33">
            <v>267821.26</v>
          </cell>
          <cell r="W33">
            <v>96274.1</v>
          </cell>
          <cell r="X33">
            <v>1.04106167186958</v>
          </cell>
          <cell r="Y33">
            <v>0.92896725633021204</v>
          </cell>
        </row>
        <row r="34">
          <cell r="A34">
            <v>541</v>
          </cell>
          <cell r="B34" t="str">
            <v>府城大道西段店</v>
          </cell>
          <cell r="C34" t="str">
            <v>东南片</v>
          </cell>
          <cell r="D34">
            <v>30</v>
          </cell>
          <cell r="E34">
            <v>283728.28000000003</v>
          </cell>
          <cell r="F34">
            <v>9458</v>
          </cell>
          <cell r="G34">
            <v>11349.6</v>
          </cell>
          <cell r="H34">
            <v>227958.39999999999</v>
          </cell>
          <cell r="I34">
            <v>9118.3359999999993</v>
          </cell>
          <cell r="J34">
            <v>10000</v>
          </cell>
          <cell r="K34">
            <v>10000</v>
          </cell>
          <cell r="L34">
            <v>310000</v>
          </cell>
          <cell r="M34">
            <v>3016.7380303620098</v>
          </cell>
          <cell r="N34">
            <v>99851</v>
          </cell>
          <cell r="O34">
            <v>-0.04</v>
          </cell>
          <cell r="P34" t="str">
            <v>32.21%</v>
          </cell>
          <cell r="Q34">
            <v>102.76</v>
          </cell>
          <cell r="R34">
            <v>1</v>
          </cell>
          <cell r="S34">
            <v>322400</v>
          </cell>
          <cell r="T34">
            <v>103845.04</v>
          </cell>
          <cell r="U34">
            <v>2967</v>
          </cell>
          <cell r="V34">
            <v>283724.03000000003</v>
          </cell>
          <cell r="W34">
            <v>87386.22</v>
          </cell>
          <cell r="X34">
            <v>0.98351264516129</v>
          </cell>
          <cell r="Y34">
            <v>0.91523880645161304</v>
          </cell>
        </row>
        <row r="35">
          <cell r="A35">
            <v>724</v>
          </cell>
          <cell r="B35" t="str">
            <v>观音桥街药店</v>
          </cell>
          <cell r="C35" t="str">
            <v>东南片</v>
          </cell>
          <cell r="D35">
            <v>30</v>
          </cell>
          <cell r="E35">
            <v>200520.63</v>
          </cell>
          <cell r="F35">
            <v>6684</v>
          </cell>
          <cell r="G35">
            <v>8020.8</v>
          </cell>
          <cell r="H35">
            <v>211674.2</v>
          </cell>
          <cell r="I35">
            <v>8466.9680000000008</v>
          </cell>
          <cell r="J35">
            <v>8000</v>
          </cell>
          <cell r="K35">
            <v>8000</v>
          </cell>
          <cell r="L35">
            <v>248000</v>
          </cell>
          <cell r="M35">
            <v>4108.00066258075</v>
          </cell>
          <cell r="N35">
            <v>79310.399999999994</v>
          </cell>
          <cell r="O35">
            <v>-0.04</v>
          </cell>
          <cell r="P35" t="str">
            <v>31.98%</v>
          </cell>
          <cell r="Q35">
            <v>60.37</v>
          </cell>
          <cell r="R35">
            <v>1</v>
          </cell>
          <cell r="S35">
            <v>257920</v>
          </cell>
          <cell r="T35">
            <v>82482.816000000006</v>
          </cell>
          <cell r="U35">
            <v>4270</v>
          </cell>
          <cell r="V35">
            <v>236040.68</v>
          </cell>
          <cell r="W35">
            <v>71293.960000000006</v>
          </cell>
          <cell r="X35">
            <v>1.03943508064516</v>
          </cell>
          <cell r="Y35">
            <v>0.95177693548387099</v>
          </cell>
        </row>
        <row r="36">
          <cell r="A36">
            <v>377</v>
          </cell>
          <cell r="B36" t="str">
            <v>新园大道药店</v>
          </cell>
          <cell r="C36" t="str">
            <v>东南片</v>
          </cell>
          <cell r="D36">
            <v>30</v>
          </cell>
          <cell r="E36">
            <v>177188.08</v>
          </cell>
          <cell r="F36">
            <v>5906</v>
          </cell>
          <cell r="G36">
            <v>7087.2</v>
          </cell>
          <cell r="H36">
            <v>192787.55</v>
          </cell>
          <cell r="I36">
            <v>7711.5020000000004</v>
          </cell>
          <cell r="J36">
            <v>7200</v>
          </cell>
          <cell r="K36">
            <v>7200</v>
          </cell>
          <cell r="L36">
            <v>223200</v>
          </cell>
          <cell r="M36">
            <v>3592.4674070497299</v>
          </cell>
          <cell r="N36">
            <v>76535.28</v>
          </cell>
          <cell r="O36">
            <v>-0.04</v>
          </cell>
          <cell r="P36" t="str">
            <v>34.29%</v>
          </cell>
          <cell r="Q36">
            <v>62.13</v>
          </cell>
          <cell r="R36">
            <v>1</v>
          </cell>
          <cell r="S36">
            <v>232128</v>
          </cell>
          <cell r="T36">
            <v>79596.691200000001</v>
          </cell>
          <cell r="U36">
            <v>3966</v>
          </cell>
          <cell r="V36">
            <v>205180.51</v>
          </cell>
          <cell r="W36">
            <v>66962.22</v>
          </cell>
          <cell r="X36">
            <v>1.10397661290323</v>
          </cell>
          <cell r="Y36">
            <v>0.91926751792114703</v>
          </cell>
        </row>
        <row r="37">
          <cell r="A37">
            <v>598</v>
          </cell>
          <cell r="B37" t="str">
            <v>水杉街药店</v>
          </cell>
          <cell r="C37" t="str">
            <v>东南片</v>
          </cell>
          <cell r="D37">
            <v>30</v>
          </cell>
          <cell r="E37">
            <v>173519.25</v>
          </cell>
          <cell r="F37">
            <v>5784</v>
          </cell>
          <cell r="G37">
            <v>6940.8</v>
          </cell>
          <cell r="H37">
            <v>154486.85</v>
          </cell>
          <cell r="I37">
            <v>6179.4740000000002</v>
          </cell>
          <cell r="J37">
            <v>6800</v>
          </cell>
          <cell r="K37">
            <v>6800</v>
          </cell>
          <cell r="L37">
            <v>210800</v>
          </cell>
          <cell r="M37">
            <v>2919.2632599363001</v>
          </cell>
          <cell r="N37">
            <v>70259.64</v>
          </cell>
          <cell r="O37">
            <v>-0.04</v>
          </cell>
          <cell r="P37" t="str">
            <v>33.33%</v>
          </cell>
          <cell r="Q37">
            <v>72.209999999999994</v>
          </cell>
          <cell r="R37">
            <v>1</v>
          </cell>
          <cell r="S37">
            <v>219232</v>
          </cell>
          <cell r="T37">
            <v>73070.025599999994</v>
          </cell>
          <cell r="U37">
            <v>3169</v>
          </cell>
          <cell r="V37">
            <v>184523.58</v>
          </cell>
          <cell r="W37">
            <v>66124.820000000007</v>
          </cell>
          <cell r="X37">
            <v>1.08554786527514</v>
          </cell>
          <cell r="Y37">
            <v>0.87534905123339701</v>
          </cell>
        </row>
        <row r="38">
          <cell r="A38">
            <v>737</v>
          </cell>
          <cell r="B38" t="str">
            <v>大源北街药店</v>
          </cell>
          <cell r="C38" t="str">
            <v>东南片</v>
          </cell>
          <cell r="D38">
            <v>30</v>
          </cell>
          <cell r="E38">
            <v>149998.39999999999</v>
          </cell>
          <cell r="F38">
            <v>5000</v>
          </cell>
          <cell r="G38">
            <v>6000</v>
          </cell>
          <cell r="H38">
            <v>147435.01</v>
          </cell>
          <cell r="I38">
            <v>5897.4004000000004</v>
          </cell>
          <cell r="J38">
            <v>6000</v>
          </cell>
          <cell r="K38">
            <v>6000</v>
          </cell>
          <cell r="L38">
            <v>186000</v>
          </cell>
          <cell r="M38">
            <v>2952.38095238095</v>
          </cell>
          <cell r="N38">
            <v>65806.8</v>
          </cell>
          <cell r="O38">
            <v>-0.04</v>
          </cell>
          <cell r="P38" t="str">
            <v>35.38%</v>
          </cell>
          <cell r="Q38">
            <v>63</v>
          </cell>
          <cell r="R38">
            <v>1</v>
          </cell>
          <cell r="S38">
            <v>193440</v>
          </cell>
          <cell r="T38">
            <v>68439.072</v>
          </cell>
          <cell r="U38">
            <v>3272</v>
          </cell>
          <cell r="V38">
            <v>187941.28</v>
          </cell>
          <cell r="W38">
            <v>65926.42</v>
          </cell>
          <cell r="X38">
            <v>1.10825806451613</v>
          </cell>
          <cell r="Y38">
            <v>1.01043698924731</v>
          </cell>
        </row>
        <row r="39">
          <cell r="A39">
            <v>399</v>
          </cell>
          <cell r="B39" t="str">
            <v>高新天久北巷药店</v>
          </cell>
          <cell r="C39" t="str">
            <v>东南片</v>
          </cell>
          <cell r="D39">
            <v>30</v>
          </cell>
          <cell r="E39">
            <v>174533.29</v>
          </cell>
          <cell r="F39">
            <v>5818</v>
          </cell>
          <cell r="G39">
            <v>6981.6</v>
          </cell>
          <cell r="H39">
            <v>152248.20000000001</v>
          </cell>
          <cell r="I39">
            <v>6089.9279999999999</v>
          </cell>
          <cell r="J39">
            <v>6800</v>
          </cell>
          <cell r="K39">
            <v>6800</v>
          </cell>
          <cell r="L39">
            <v>210800</v>
          </cell>
          <cell r="M39">
            <v>2724.57024686571</v>
          </cell>
          <cell r="N39">
            <v>68320.28</v>
          </cell>
          <cell r="O39">
            <v>-0.04</v>
          </cell>
          <cell r="P39" t="str">
            <v>32.41%</v>
          </cell>
          <cell r="Q39">
            <v>77.37</v>
          </cell>
          <cell r="R39">
            <v>1</v>
          </cell>
          <cell r="S39">
            <v>219232</v>
          </cell>
          <cell r="T39">
            <v>71053.091199999995</v>
          </cell>
          <cell r="U39">
            <v>2821</v>
          </cell>
          <cell r="V39">
            <v>205308.88</v>
          </cell>
          <cell r="W39">
            <v>62121.51</v>
          </cell>
          <cell r="X39">
            <v>1.0353926470588199</v>
          </cell>
          <cell r="Y39">
            <v>0.97395104364326401</v>
          </cell>
        </row>
        <row r="40">
          <cell r="A40">
            <v>584</v>
          </cell>
          <cell r="B40" t="str">
            <v>柳荫街药店</v>
          </cell>
          <cell r="C40" t="str">
            <v>东南片</v>
          </cell>
          <cell r="D40">
            <v>30</v>
          </cell>
          <cell r="E40">
            <v>109824.57</v>
          </cell>
          <cell r="F40">
            <v>3661</v>
          </cell>
          <cell r="G40">
            <v>4393.2</v>
          </cell>
          <cell r="H40">
            <v>114835.27</v>
          </cell>
          <cell r="I40">
            <v>4593.4107999999997</v>
          </cell>
          <cell r="J40">
            <v>4500</v>
          </cell>
          <cell r="K40">
            <v>4500</v>
          </cell>
          <cell r="L40">
            <v>139500</v>
          </cell>
          <cell r="M40">
            <v>2202.3997473950099</v>
          </cell>
          <cell r="N40">
            <v>45463.05</v>
          </cell>
          <cell r="O40">
            <v>-0.04</v>
          </cell>
          <cell r="P40" t="str">
            <v>32.59%</v>
          </cell>
          <cell r="Q40">
            <v>63.34</v>
          </cell>
          <cell r="R40">
            <v>1</v>
          </cell>
          <cell r="S40">
            <v>145080</v>
          </cell>
          <cell r="T40">
            <v>47281.572</v>
          </cell>
          <cell r="U40">
            <v>1961</v>
          </cell>
          <cell r="V40">
            <v>135160.51</v>
          </cell>
          <cell r="W40">
            <v>41458.03</v>
          </cell>
          <cell r="X40">
            <v>0.89039240143369203</v>
          </cell>
          <cell r="Y40">
            <v>0.96889254480286702</v>
          </cell>
        </row>
        <row r="41">
          <cell r="A41">
            <v>573</v>
          </cell>
          <cell r="B41" t="str">
            <v>锦华路一段药店</v>
          </cell>
          <cell r="C41" t="str">
            <v>东南片</v>
          </cell>
          <cell r="D41">
            <v>30</v>
          </cell>
          <cell r="E41">
            <v>120992.6</v>
          </cell>
          <cell r="F41">
            <v>4033</v>
          </cell>
          <cell r="G41">
            <v>4839.6000000000004</v>
          </cell>
          <cell r="H41">
            <v>103237.29</v>
          </cell>
          <cell r="I41">
            <v>4129.4916000000003</v>
          </cell>
          <cell r="J41">
            <v>4200</v>
          </cell>
          <cell r="K41">
            <v>4200</v>
          </cell>
          <cell r="L41">
            <v>130200</v>
          </cell>
          <cell r="M41">
            <v>2412.8984432913298</v>
          </cell>
          <cell r="N41">
            <v>41442.660000000003</v>
          </cell>
          <cell r="O41">
            <v>-0.04</v>
          </cell>
          <cell r="P41" t="str">
            <v>31.83%</v>
          </cell>
          <cell r="Q41">
            <v>53.96</v>
          </cell>
          <cell r="R41">
            <v>1</v>
          </cell>
          <cell r="S41">
            <v>135408</v>
          </cell>
          <cell r="T41">
            <v>43100.366399999999</v>
          </cell>
          <cell r="U41">
            <v>2397</v>
          </cell>
          <cell r="V41">
            <v>117653.81</v>
          </cell>
          <cell r="W41">
            <v>40665.089999999997</v>
          </cell>
          <cell r="X41">
            <v>0.99341105990783296</v>
          </cell>
          <cell r="Y41">
            <v>0.90363909370199702</v>
          </cell>
        </row>
        <row r="42">
          <cell r="A42">
            <v>743</v>
          </cell>
          <cell r="B42" t="str">
            <v>成华区万宇路药店</v>
          </cell>
          <cell r="C42" t="str">
            <v>东南片</v>
          </cell>
          <cell r="D42">
            <v>30</v>
          </cell>
          <cell r="E42">
            <v>99337.46</v>
          </cell>
          <cell r="F42">
            <v>3311</v>
          </cell>
          <cell r="G42">
            <v>3973.2</v>
          </cell>
          <cell r="H42">
            <v>93860.44</v>
          </cell>
          <cell r="I42">
            <v>3754.4176000000002</v>
          </cell>
          <cell r="J42">
            <v>3600</v>
          </cell>
          <cell r="K42">
            <v>3600</v>
          </cell>
          <cell r="L42">
            <v>111600</v>
          </cell>
          <cell r="M42">
            <v>2078.21229050279</v>
          </cell>
          <cell r="N42">
            <v>34317</v>
          </cell>
          <cell r="O42">
            <v>-0.06</v>
          </cell>
          <cell r="P42" t="str">
            <v>30.75%</v>
          </cell>
          <cell r="Q42">
            <v>53.7</v>
          </cell>
          <cell r="R42">
            <v>1</v>
          </cell>
          <cell r="S42">
            <v>118296</v>
          </cell>
          <cell r="T42">
            <v>36376.019999999997</v>
          </cell>
          <cell r="U42">
            <v>2373</v>
          </cell>
          <cell r="V42">
            <v>115953.78</v>
          </cell>
          <cell r="W42">
            <v>38218.01</v>
          </cell>
          <cell r="X42">
            <v>1.1418467741935501</v>
          </cell>
          <cell r="Y42">
            <v>1.0390123655914001</v>
          </cell>
        </row>
        <row r="43">
          <cell r="A43">
            <v>733</v>
          </cell>
          <cell r="B43" t="str">
            <v>三强西路药店</v>
          </cell>
          <cell r="C43" t="str">
            <v>东南片</v>
          </cell>
          <cell r="D43">
            <v>30</v>
          </cell>
          <cell r="E43">
            <v>72156.92</v>
          </cell>
          <cell r="F43">
            <v>2405</v>
          </cell>
          <cell r="G43">
            <v>2886</v>
          </cell>
          <cell r="H43">
            <v>97245.52</v>
          </cell>
          <cell r="I43">
            <v>3889.8208</v>
          </cell>
          <cell r="J43">
            <v>3400</v>
          </cell>
          <cell r="K43">
            <v>3400</v>
          </cell>
          <cell r="L43">
            <v>105400</v>
          </cell>
          <cell r="M43">
            <v>1908.3831251131601</v>
          </cell>
          <cell r="N43">
            <v>30323.58</v>
          </cell>
          <cell r="O43">
            <v>-0.06</v>
          </cell>
          <cell r="P43" t="str">
            <v>28.77%</v>
          </cell>
          <cell r="Q43">
            <v>55.23</v>
          </cell>
          <cell r="R43">
            <v>1</v>
          </cell>
          <cell r="S43">
            <v>111724</v>
          </cell>
          <cell r="T43">
            <v>32142.9948</v>
          </cell>
          <cell r="U43">
            <v>1890</v>
          </cell>
          <cell r="V43">
            <v>97296.89</v>
          </cell>
          <cell r="W43">
            <v>30333.55</v>
          </cell>
          <cell r="X43">
            <v>0.99036717267552299</v>
          </cell>
          <cell r="Y43">
            <v>0.92312039848197303</v>
          </cell>
        </row>
        <row r="44">
          <cell r="A44">
            <v>740</v>
          </cell>
          <cell r="B44" t="str">
            <v>成华区华康路药店</v>
          </cell>
          <cell r="C44" t="str">
            <v>东南片</v>
          </cell>
          <cell r="D44">
            <v>30</v>
          </cell>
          <cell r="E44">
            <v>94947.97</v>
          </cell>
          <cell r="F44">
            <v>3165</v>
          </cell>
          <cell r="G44">
            <v>3798</v>
          </cell>
          <cell r="H44">
            <v>87359.98</v>
          </cell>
          <cell r="I44">
            <v>3494.3991999999998</v>
          </cell>
          <cell r="J44">
            <v>3400</v>
          </cell>
          <cell r="K44">
            <v>3400</v>
          </cell>
          <cell r="L44">
            <v>105400</v>
          </cell>
          <cell r="M44">
            <v>1818.1818181818201</v>
          </cell>
          <cell r="N44">
            <v>33327.480000000003</v>
          </cell>
          <cell r="O44">
            <v>-0.06</v>
          </cell>
          <cell r="P44" t="str">
            <v>31.62%</v>
          </cell>
          <cell r="Q44">
            <v>57.97</v>
          </cell>
          <cell r="R44">
            <v>1</v>
          </cell>
          <cell r="S44">
            <v>111724</v>
          </cell>
          <cell r="T44">
            <v>35327.128799999999</v>
          </cell>
          <cell r="U44">
            <v>1994</v>
          </cell>
          <cell r="V44">
            <v>107855.7</v>
          </cell>
          <cell r="W44">
            <v>34683.230000000003</v>
          </cell>
          <cell r="X44">
            <v>1.0967</v>
          </cell>
          <cell r="Y44">
            <v>1.02329886148008</v>
          </cell>
        </row>
        <row r="45">
          <cell r="A45">
            <v>753</v>
          </cell>
          <cell r="B45" t="str">
            <v>合欢树街药店</v>
          </cell>
          <cell r="C45" t="str">
            <v>东南片</v>
          </cell>
          <cell r="D45">
            <v>30</v>
          </cell>
          <cell r="E45">
            <v>0</v>
          </cell>
          <cell r="F45">
            <v>0</v>
          </cell>
          <cell r="G45">
            <v>0</v>
          </cell>
          <cell r="H45">
            <v>82210.81</v>
          </cell>
          <cell r="I45">
            <v>3288.4324000000001</v>
          </cell>
          <cell r="J45">
            <v>2600</v>
          </cell>
          <cell r="K45">
            <v>2600</v>
          </cell>
          <cell r="L45">
            <v>80600</v>
          </cell>
          <cell r="M45">
            <v>1049.7525397238901</v>
          </cell>
          <cell r="N45">
            <v>23075.78</v>
          </cell>
          <cell r="O45">
            <v>-0.06</v>
          </cell>
          <cell r="P45" t="str">
            <v>28.63%</v>
          </cell>
          <cell r="Q45">
            <v>76.78</v>
          </cell>
          <cell r="R45">
            <v>1</v>
          </cell>
          <cell r="S45">
            <v>85436</v>
          </cell>
          <cell r="T45">
            <v>24460.326799999999</v>
          </cell>
          <cell r="U45">
            <v>1257</v>
          </cell>
          <cell r="V45">
            <v>88284.63</v>
          </cell>
          <cell r="W45">
            <v>26216.59</v>
          </cell>
          <cell r="X45">
            <v>1.19742506203474</v>
          </cell>
          <cell r="Y45">
            <v>1.09534280397022</v>
          </cell>
        </row>
        <row r="46">
          <cell r="A46">
            <v>545</v>
          </cell>
          <cell r="B46" t="str">
            <v>龙潭西路店</v>
          </cell>
          <cell r="C46" t="str">
            <v>东南片</v>
          </cell>
          <cell r="D46">
            <v>30</v>
          </cell>
          <cell r="E46">
            <v>109381.57</v>
          </cell>
          <cell r="F46">
            <v>3646</v>
          </cell>
          <cell r="G46">
            <v>4375.2</v>
          </cell>
          <cell r="H46">
            <v>69189.679999999993</v>
          </cell>
          <cell r="I46">
            <v>2767.5871999999999</v>
          </cell>
          <cell r="J46">
            <v>3400</v>
          </cell>
          <cell r="K46">
            <v>3400</v>
          </cell>
          <cell r="L46">
            <v>105400</v>
          </cell>
          <cell r="M46">
            <v>1799.5560867338199</v>
          </cell>
          <cell r="N46">
            <v>35224.68</v>
          </cell>
          <cell r="O46">
            <v>6.4705882352941196E-2</v>
          </cell>
          <cell r="P46" t="str">
            <v>33.42%</v>
          </cell>
          <cell r="Q46">
            <v>58.57</v>
          </cell>
          <cell r="R46">
            <v>1</v>
          </cell>
          <cell r="S46">
            <v>111724</v>
          </cell>
          <cell r="T46">
            <v>37338.160799999998</v>
          </cell>
          <cell r="U46">
            <v>1527</v>
          </cell>
          <cell r="V46">
            <v>88035.39</v>
          </cell>
          <cell r="W46">
            <v>27116.17</v>
          </cell>
          <cell r="X46">
            <v>0.84854259962049505</v>
          </cell>
          <cell r="Y46">
            <v>0.83525037950664105</v>
          </cell>
        </row>
        <row r="47">
          <cell r="A47">
            <v>103639</v>
          </cell>
          <cell r="B47" t="str">
            <v>金马河店</v>
          </cell>
          <cell r="C47" t="str">
            <v>东南片</v>
          </cell>
          <cell r="K47">
            <v>2600</v>
          </cell>
          <cell r="L47">
            <v>80600</v>
          </cell>
          <cell r="M47">
            <v>2140</v>
          </cell>
          <cell r="N47">
            <v>24986</v>
          </cell>
          <cell r="O47">
            <v>0</v>
          </cell>
          <cell r="P47">
            <v>0.3</v>
          </cell>
          <cell r="Q47">
            <v>36.47</v>
          </cell>
          <cell r="R47">
            <v>1</v>
          </cell>
          <cell r="S47">
            <v>85436</v>
          </cell>
          <cell r="T47">
            <v>26485.16</v>
          </cell>
          <cell r="U47">
            <v>2279</v>
          </cell>
          <cell r="V47">
            <v>88977.26</v>
          </cell>
          <cell r="W47">
            <v>31583.69</v>
          </cell>
          <cell r="X47">
            <v>1.06495327102804</v>
          </cell>
          <cell r="Y47">
            <v>1.10393622828784</v>
          </cell>
        </row>
        <row r="48">
          <cell r="A48">
            <v>337</v>
          </cell>
          <cell r="B48" t="str">
            <v>浆洗街药店</v>
          </cell>
          <cell r="C48" t="str">
            <v>城中片</v>
          </cell>
          <cell r="D48">
            <v>30</v>
          </cell>
          <cell r="E48">
            <v>601991.59</v>
          </cell>
          <cell r="F48">
            <v>20066</v>
          </cell>
          <cell r="G48">
            <v>24079.200000000001</v>
          </cell>
          <cell r="H48">
            <v>560123.38</v>
          </cell>
          <cell r="I48">
            <v>22404.9352</v>
          </cell>
          <cell r="J48">
            <v>23700</v>
          </cell>
          <cell r="K48">
            <v>25000</v>
          </cell>
          <cell r="L48">
            <v>775000</v>
          </cell>
          <cell r="M48">
            <v>7063.4341961356204</v>
          </cell>
          <cell r="N48">
            <v>232732.5</v>
          </cell>
          <cell r="O48">
            <v>2.3560000000000001E-2</v>
          </cell>
          <cell r="P48" t="str">
            <v>30.03%</v>
          </cell>
          <cell r="Q48">
            <v>109.72</v>
          </cell>
          <cell r="R48">
            <v>1</v>
          </cell>
          <cell r="S48">
            <v>798250</v>
          </cell>
          <cell r="T48">
            <v>239714.47500000001</v>
          </cell>
          <cell r="U48">
            <v>6328</v>
          </cell>
          <cell r="V48">
            <v>803589.01</v>
          </cell>
          <cell r="W48">
            <v>174445.86</v>
          </cell>
          <cell r="X48">
            <v>0.89588149677419304</v>
          </cell>
          <cell r="Y48">
            <v>1.03688904516129</v>
          </cell>
        </row>
        <row r="49">
          <cell r="A49">
            <v>517</v>
          </cell>
          <cell r="B49" t="str">
            <v>青羊区北东街店</v>
          </cell>
          <cell r="C49" t="str">
            <v>城中片</v>
          </cell>
          <cell r="D49">
            <v>30</v>
          </cell>
          <cell r="E49">
            <v>501660.3</v>
          </cell>
          <cell r="F49">
            <v>16722</v>
          </cell>
          <cell r="G49">
            <v>20066.400000000001</v>
          </cell>
          <cell r="H49">
            <v>559247.44999999995</v>
          </cell>
          <cell r="I49">
            <v>22369.898000000001</v>
          </cell>
          <cell r="J49">
            <v>16500</v>
          </cell>
          <cell r="K49">
            <v>18000</v>
          </cell>
          <cell r="L49">
            <v>558000</v>
          </cell>
          <cell r="M49">
            <v>6581.7409766454302</v>
          </cell>
          <cell r="N49">
            <v>145582.20000000001</v>
          </cell>
          <cell r="O49">
            <v>2.8333333333333301E-2</v>
          </cell>
          <cell r="P49" t="str">
            <v>26.09%</v>
          </cell>
          <cell r="Q49">
            <v>84.78</v>
          </cell>
          <cell r="R49">
            <v>2</v>
          </cell>
          <cell r="S49">
            <v>591480</v>
          </cell>
          <cell r="T49">
            <v>154317.13200000001</v>
          </cell>
          <cell r="U49">
            <v>8196</v>
          </cell>
          <cell r="V49">
            <v>641814.52</v>
          </cell>
          <cell r="W49">
            <v>162410.19</v>
          </cell>
          <cell r="X49">
            <v>1.24526322580645</v>
          </cell>
          <cell r="Y49">
            <v>1.15020523297491</v>
          </cell>
        </row>
        <row r="50">
          <cell r="A50">
            <v>373</v>
          </cell>
          <cell r="B50" t="str">
            <v>通盈街药店</v>
          </cell>
          <cell r="C50" t="str">
            <v>城中片</v>
          </cell>
          <cell r="D50">
            <v>30</v>
          </cell>
          <cell r="E50">
            <v>208706.13</v>
          </cell>
          <cell r="F50">
            <v>6957</v>
          </cell>
          <cell r="G50">
            <v>8348.4</v>
          </cell>
          <cell r="H50">
            <v>215620.88</v>
          </cell>
          <cell r="I50">
            <v>8624.8351999999995</v>
          </cell>
          <cell r="J50">
            <v>8100</v>
          </cell>
          <cell r="K50">
            <v>8800</v>
          </cell>
          <cell r="L50">
            <v>272800</v>
          </cell>
          <cell r="M50">
            <v>3564.6151835881401</v>
          </cell>
          <cell r="N50">
            <v>81894.559999999998</v>
          </cell>
          <cell r="O50">
            <v>4.2727272727272697E-2</v>
          </cell>
          <cell r="P50" t="str">
            <v>30.02%</v>
          </cell>
          <cell r="Q50">
            <v>76.53</v>
          </cell>
          <cell r="R50">
            <v>1</v>
          </cell>
          <cell r="S50">
            <v>283712</v>
          </cell>
          <cell r="T50">
            <v>85170.342399999994</v>
          </cell>
          <cell r="U50">
            <v>3369</v>
          </cell>
          <cell r="V50">
            <v>264805.62</v>
          </cell>
          <cell r="W50">
            <v>78044.84</v>
          </cell>
          <cell r="X50">
            <v>0.94512305718474898</v>
          </cell>
          <cell r="Y50">
            <v>0.97069508797654003</v>
          </cell>
        </row>
        <row r="51">
          <cell r="A51">
            <v>742</v>
          </cell>
          <cell r="B51" t="str">
            <v>庆云南街药店</v>
          </cell>
          <cell r="C51" t="str">
            <v>城中片</v>
          </cell>
          <cell r="D51">
            <v>30</v>
          </cell>
          <cell r="E51">
            <v>256895.56</v>
          </cell>
          <cell r="F51">
            <v>8563</v>
          </cell>
          <cell r="G51">
            <v>10275.6</v>
          </cell>
          <cell r="H51">
            <v>201393.51</v>
          </cell>
          <cell r="I51">
            <v>8055.7403999999997</v>
          </cell>
          <cell r="J51">
            <v>8800</v>
          </cell>
          <cell r="K51">
            <v>8800</v>
          </cell>
          <cell r="L51">
            <v>272800</v>
          </cell>
          <cell r="M51">
            <v>2788.51068179495</v>
          </cell>
          <cell r="N51">
            <v>74747.199999999997</v>
          </cell>
          <cell r="O51">
            <v>-0.04</v>
          </cell>
          <cell r="P51" t="str">
            <v>27.4%</v>
          </cell>
          <cell r="Q51">
            <v>97.83</v>
          </cell>
          <cell r="R51">
            <v>1</v>
          </cell>
          <cell r="S51">
            <v>283712</v>
          </cell>
          <cell r="T51">
            <v>77737.088000000003</v>
          </cell>
          <cell r="U51">
            <v>2600</v>
          </cell>
          <cell r="V51">
            <v>251947.66</v>
          </cell>
          <cell r="W51">
            <v>72234.89</v>
          </cell>
          <cell r="X51">
            <v>0.93239736070381296</v>
          </cell>
          <cell r="Y51">
            <v>0.92356180351906203</v>
          </cell>
        </row>
        <row r="52">
          <cell r="A52">
            <v>355</v>
          </cell>
          <cell r="B52" t="str">
            <v>双林路药店</v>
          </cell>
          <cell r="C52" t="str">
            <v>城中片</v>
          </cell>
          <cell r="D52">
            <v>30</v>
          </cell>
          <cell r="E52">
            <v>221604.08</v>
          </cell>
          <cell r="F52">
            <v>7387</v>
          </cell>
          <cell r="G52">
            <v>8864.4</v>
          </cell>
          <cell r="H52">
            <v>178304.42</v>
          </cell>
          <cell r="I52">
            <v>7132.1768000000002</v>
          </cell>
          <cell r="J52">
            <v>8200</v>
          </cell>
          <cell r="K52">
            <v>8200</v>
          </cell>
          <cell r="L52">
            <v>254200</v>
          </cell>
          <cell r="M52">
            <v>2961.32339235788</v>
          </cell>
          <cell r="N52">
            <v>84572.34</v>
          </cell>
          <cell r="O52">
            <v>-0.04</v>
          </cell>
          <cell r="P52" t="str">
            <v>33.27%</v>
          </cell>
          <cell r="Q52">
            <v>85.84</v>
          </cell>
          <cell r="R52">
            <v>1</v>
          </cell>
          <cell r="S52">
            <v>264368</v>
          </cell>
          <cell r="T52">
            <v>87955.233600000007</v>
          </cell>
          <cell r="U52">
            <v>2993</v>
          </cell>
          <cell r="V52">
            <v>214283</v>
          </cell>
          <cell r="W52">
            <v>72366.259999999995</v>
          </cell>
          <cell r="X52">
            <v>1.01069677419355</v>
          </cell>
          <cell r="Y52">
            <v>0.84297010228166802</v>
          </cell>
        </row>
        <row r="53">
          <cell r="A53">
            <v>578</v>
          </cell>
          <cell r="B53" t="str">
            <v>成华区华油路药店</v>
          </cell>
          <cell r="C53" t="str">
            <v>城中片</v>
          </cell>
          <cell r="D53">
            <v>30</v>
          </cell>
          <cell r="E53">
            <v>187706.54</v>
          </cell>
          <cell r="F53">
            <v>6257</v>
          </cell>
          <cell r="G53">
            <v>7508.4</v>
          </cell>
          <cell r="H53">
            <v>177733.77</v>
          </cell>
          <cell r="I53">
            <v>7109.3508000000002</v>
          </cell>
          <cell r="J53">
            <v>7200</v>
          </cell>
          <cell r="K53">
            <v>7200</v>
          </cell>
          <cell r="L53">
            <v>223200</v>
          </cell>
          <cell r="M53">
            <v>3570.0575815738998</v>
          </cell>
          <cell r="N53">
            <v>79436.88</v>
          </cell>
          <cell r="O53">
            <v>-0.04</v>
          </cell>
          <cell r="P53" t="str">
            <v>35.59%</v>
          </cell>
          <cell r="Q53">
            <v>62.52</v>
          </cell>
          <cell r="R53">
            <v>1</v>
          </cell>
          <cell r="S53">
            <v>232128</v>
          </cell>
          <cell r="T53">
            <v>82614.355200000005</v>
          </cell>
          <cell r="U53">
            <v>4401</v>
          </cell>
          <cell r="V53">
            <v>268286.59000000003</v>
          </cell>
          <cell r="W53">
            <v>85061.55</v>
          </cell>
          <cell r="X53">
            <v>1.23275322580645</v>
          </cell>
          <cell r="Y53">
            <v>1.20200085125448</v>
          </cell>
        </row>
        <row r="54">
          <cell r="A54">
            <v>391</v>
          </cell>
          <cell r="B54" t="str">
            <v>金丝街药店</v>
          </cell>
          <cell r="C54" t="str">
            <v>城中片</v>
          </cell>
          <cell r="D54">
            <v>30</v>
          </cell>
          <cell r="E54">
            <v>189083.49</v>
          </cell>
          <cell r="F54">
            <v>6303</v>
          </cell>
          <cell r="G54">
            <v>7563.6</v>
          </cell>
          <cell r="H54">
            <v>162430.96</v>
          </cell>
          <cell r="I54">
            <v>6497.2384000000002</v>
          </cell>
          <cell r="J54">
            <v>6700</v>
          </cell>
          <cell r="K54">
            <v>6700</v>
          </cell>
          <cell r="L54">
            <v>207700</v>
          </cell>
          <cell r="M54">
            <v>2722.8631358154198</v>
          </cell>
          <cell r="N54">
            <v>68042.52</v>
          </cell>
          <cell r="O54">
            <v>-0.04</v>
          </cell>
          <cell r="P54" t="str">
            <v>32.76%</v>
          </cell>
          <cell r="Q54">
            <v>76.28</v>
          </cell>
          <cell r="R54">
            <v>1</v>
          </cell>
          <cell r="S54">
            <v>216008</v>
          </cell>
          <cell r="T54">
            <v>70764.220799999996</v>
          </cell>
          <cell r="U54">
            <v>3344</v>
          </cell>
          <cell r="V54">
            <v>233336.8</v>
          </cell>
          <cell r="W54">
            <v>83750.84</v>
          </cell>
          <cell r="X54">
            <v>1.2281190178141499</v>
          </cell>
          <cell r="Y54">
            <v>1.1234318728935999</v>
          </cell>
        </row>
        <row r="55">
          <cell r="A55">
            <v>308</v>
          </cell>
          <cell r="B55" t="str">
            <v>红星店</v>
          </cell>
          <cell r="C55" t="str">
            <v>城中片</v>
          </cell>
          <cell r="D55">
            <v>30</v>
          </cell>
          <cell r="E55">
            <v>210238.32</v>
          </cell>
          <cell r="F55">
            <v>7008</v>
          </cell>
          <cell r="G55">
            <v>8409.6</v>
          </cell>
          <cell r="H55">
            <v>199563.99</v>
          </cell>
          <cell r="I55">
            <v>7982.5595999999996</v>
          </cell>
          <cell r="J55">
            <v>8800</v>
          </cell>
          <cell r="K55">
            <v>8800</v>
          </cell>
          <cell r="L55">
            <v>272800</v>
          </cell>
          <cell r="M55">
            <v>3720.1690985953901</v>
          </cell>
          <cell r="N55">
            <v>99708.4</v>
          </cell>
          <cell r="O55">
            <v>-0.04</v>
          </cell>
          <cell r="P55" t="str">
            <v>36.55%</v>
          </cell>
          <cell r="Q55">
            <v>73.33</v>
          </cell>
          <cell r="R55">
            <v>1</v>
          </cell>
          <cell r="S55">
            <v>283712</v>
          </cell>
          <cell r="T55">
            <v>103696.736</v>
          </cell>
          <cell r="U55">
            <v>3151</v>
          </cell>
          <cell r="V55">
            <v>217808.34</v>
          </cell>
          <cell r="W55">
            <v>76983.240000000005</v>
          </cell>
          <cell r="X55">
            <v>0.84700450879765399</v>
          </cell>
          <cell r="Y55">
            <v>0.79841766862170105</v>
          </cell>
        </row>
        <row r="56">
          <cell r="A56">
            <v>744</v>
          </cell>
          <cell r="B56" t="str">
            <v>武侯区科华街药店</v>
          </cell>
          <cell r="C56" t="str">
            <v>城中片</v>
          </cell>
          <cell r="D56">
            <v>30</v>
          </cell>
          <cell r="E56">
            <v>212142.54</v>
          </cell>
          <cell r="F56">
            <v>7071</v>
          </cell>
          <cell r="G56">
            <v>8485.2000000000007</v>
          </cell>
          <cell r="H56">
            <v>183856.08</v>
          </cell>
          <cell r="I56">
            <v>7354.2431999999999</v>
          </cell>
          <cell r="J56">
            <v>7400</v>
          </cell>
          <cell r="K56">
            <v>7400</v>
          </cell>
          <cell r="L56">
            <v>229400</v>
          </cell>
          <cell r="M56">
            <v>3281.8311874105898</v>
          </cell>
          <cell r="N56">
            <v>62029.760000000002</v>
          </cell>
          <cell r="O56">
            <v>-0.04</v>
          </cell>
          <cell r="P56" t="str">
            <v>27.04%</v>
          </cell>
          <cell r="Q56">
            <v>69.900000000000006</v>
          </cell>
          <cell r="R56">
            <v>1</v>
          </cell>
          <cell r="S56">
            <v>238576</v>
          </cell>
          <cell r="T56">
            <v>64510.950400000002</v>
          </cell>
          <cell r="U56">
            <v>3356</v>
          </cell>
          <cell r="V56">
            <v>241506.2</v>
          </cell>
          <cell r="W56">
            <v>61700.31</v>
          </cell>
          <cell r="X56">
            <v>1.0225998256320801</v>
          </cell>
          <cell r="Y56">
            <v>1.05277332170881</v>
          </cell>
        </row>
        <row r="57">
          <cell r="A57">
            <v>515</v>
          </cell>
          <cell r="B57" t="str">
            <v>崔家店路药店</v>
          </cell>
          <cell r="C57" t="str">
            <v>城中片</v>
          </cell>
          <cell r="D57">
            <v>30</v>
          </cell>
          <cell r="E57">
            <v>169411.77</v>
          </cell>
          <cell r="F57">
            <v>5647</v>
          </cell>
          <cell r="G57">
            <v>6776.4</v>
          </cell>
          <cell r="H57">
            <v>143254.94</v>
          </cell>
          <cell r="I57">
            <v>5730.1976000000004</v>
          </cell>
          <cell r="J57">
            <v>7100</v>
          </cell>
          <cell r="K57">
            <v>7100</v>
          </cell>
          <cell r="L57">
            <v>220100</v>
          </cell>
          <cell r="M57">
            <v>3707.8840970350402</v>
          </cell>
          <cell r="N57">
            <v>74041.64</v>
          </cell>
          <cell r="O57">
            <v>-0.04</v>
          </cell>
          <cell r="P57" t="str">
            <v>33.64%</v>
          </cell>
          <cell r="Q57">
            <v>59.36</v>
          </cell>
          <cell r="R57">
            <v>1</v>
          </cell>
          <cell r="S57">
            <v>228904</v>
          </cell>
          <cell r="T57">
            <v>77003.305600000007</v>
          </cell>
          <cell r="U57">
            <v>3272</v>
          </cell>
          <cell r="V57">
            <v>185204.89</v>
          </cell>
          <cell r="W57">
            <v>58806.12</v>
          </cell>
          <cell r="X57">
            <v>0.88244398000908697</v>
          </cell>
          <cell r="Y57">
            <v>0.84145792821444798</v>
          </cell>
        </row>
        <row r="58">
          <cell r="A58">
            <v>747</v>
          </cell>
          <cell r="B58" t="str">
            <v>郫县一环路东南段药店</v>
          </cell>
          <cell r="C58" t="str">
            <v>城中片</v>
          </cell>
          <cell r="D58">
            <v>30</v>
          </cell>
          <cell r="E58">
            <v>100913.7</v>
          </cell>
          <cell r="F58">
            <v>3364</v>
          </cell>
          <cell r="G58">
            <v>4036.8</v>
          </cell>
          <cell r="H58">
            <v>169991.91</v>
          </cell>
          <cell r="I58">
            <v>6799.6764000000003</v>
          </cell>
          <cell r="J58">
            <v>5100</v>
          </cell>
          <cell r="K58">
            <v>5600</v>
          </cell>
          <cell r="L58">
            <v>173600</v>
          </cell>
          <cell r="M58">
            <v>1915.4805252123999</v>
          </cell>
          <cell r="N58">
            <v>51402.96</v>
          </cell>
          <cell r="O58">
            <v>1.64285714285714E-2</v>
          </cell>
          <cell r="P58" t="str">
            <v>29.61%</v>
          </cell>
          <cell r="Q58">
            <v>90.63</v>
          </cell>
          <cell r="R58">
            <v>2</v>
          </cell>
          <cell r="S58">
            <v>187488</v>
          </cell>
          <cell r="T58">
            <v>55515.196799999998</v>
          </cell>
          <cell r="U58">
            <v>2060</v>
          </cell>
          <cell r="V58">
            <v>165289.26999999999</v>
          </cell>
          <cell r="W58">
            <v>51417.82</v>
          </cell>
          <cell r="X58">
            <v>1.07544815668203</v>
          </cell>
          <cell r="Y58">
            <v>0.95212713133640503</v>
          </cell>
        </row>
        <row r="59">
          <cell r="A59">
            <v>572</v>
          </cell>
          <cell r="B59" t="str">
            <v>郫县郫筒镇东大街药店</v>
          </cell>
          <cell r="C59" t="str">
            <v>城中片</v>
          </cell>
          <cell r="D59">
            <v>30</v>
          </cell>
          <cell r="E59">
            <v>142526.85999999999</v>
          </cell>
          <cell r="F59">
            <v>4751</v>
          </cell>
          <cell r="G59">
            <v>5701.2</v>
          </cell>
          <cell r="H59">
            <v>134009.76999999999</v>
          </cell>
          <cell r="I59">
            <v>5360.3908000000001</v>
          </cell>
          <cell r="J59">
            <v>5900</v>
          </cell>
          <cell r="K59">
            <v>5900</v>
          </cell>
          <cell r="L59">
            <v>182900</v>
          </cell>
          <cell r="M59">
            <v>2197.2609322441099</v>
          </cell>
          <cell r="N59">
            <v>57412.31</v>
          </cell>
          <cell r="O59">
            <v>-0.04</v>
          </cell>
          <cell r="P59" t="str">
            <v>31.39%</v>
          </cell>
          <cell r="Q59">
            <v>83.24</v>
          </cell>
          <cell r="R59">
            <v>1</v>
          </cell>
          <cell r="S59">
            <v>190216</v>
          </cell>
          <cell r="T59">
            <v>59708.8024</v>
          </cell>
          <cell r="U59">
            <v>2169</v>
          </cell>
          <cell r="V59">
            <v>171564.94</v>
          </cell>
          <cell r="W59">
            <v>55678.57</v>
          </cell>
          <cell r="X59">
            <v>0.987138108255879</v>
          </cell>
          <cell r="Y59">
            <v>0.93802591580098404</v>
          </cell>
        </row>
        <row r="60">
          <cell r="A60">
            <v>511</v>
          </cell>
          <cell r="B60" t="str">
            <v>杉板桥南一路店</v>
          </cell>
          <cell r="C60" t="str">
            <v>城中片</v>
          </cell>
          <cell r="D60">
            <v>30</v>
          </cell>
          <cell r="E60">
            <v>147749.6</v>
          </cell>
          <cell r="F60">
            <v>4925</v>
          </cell>
          <cell r="G60">
            <v>5910</v>
          </cell>
          <cell r="H60">
            <v>137384.32000000001</v>
          </cell>
          <cell r="I60">
            <v>5495.3728000000001</v>
          </cell>
          <cell r="J60">
            <v>5800</v>
          </cell>
          <cell r="K60">
            <v>5800</v>
          </cell>
          <cell r="L60">
            <v>179800</v>
          </cell>
          <cell r="M60">
            <v>2701.3221153846198</v>
          </cell>
          <cell r="N60">
            <v>57338.22</v>
          </cell>
          <cell r="O60">
            <v>-0.04</v>
          </cell>
          <cell r="P60" t="str">
            <v>31.89%</v>
          </cell>
          <cell r="Q60">
            <v>66.56</v>
          </cell>
          <cell r="R60">
            <v>1</v>
          </cell>
          <cell r="S60">
            <v>186992</v>
          </cell>
          <cell r="T60">
            <v>59631.748800000001</v>
          </cell>
          <cell r="U60">
            <v>2931</v>
          </cell>
          <cell r="V60">
            <v>151269.44</v>
          </cell>
          <cell r="W60">
            <v>48094.48</v>
          </cell>
          <cell r="X60">
            <v>1.08502424916574</v>
          </cell>
          <cell r="Y60">
            <v>0.84132057842046704</v>
          </cell>
        </row>
        <row r="61">
          <cell r="A61">
            <v>349</v>
          </cell>
          <cell r="B61" t="str">
            <v>人民中路店</v>
          </cell>
          <cell r="C61" t="str">
            <v>城中片</v>
          </cell>
          <cell r="D61">
            <v>30</v>
          </cell>
          <cell r="E61">
            <v>41135.120000000003</v>
          </cell>
          <cell r="F61">
            <v>1371</v>
          </cell>
          <cell r="G61">
            <v>1645.2</v>
          </cell>
          <cell r="H61">
            <v>149814.07</v>
          </cell>
          <cell r="I61">
            <v>5992.5627999999997</v>
          </cell>
          <cell r="J61">
            <v>6200</v>
          </cell>
          <cell r="K61">
            <v>6200</v>
          </cell>
          <cell r="L61">
            <v>192200</v>
          </cell>
          <cell r="M61">
            <v>3125.7114978045201</v>
          </cell>
          <cell r="N61">
            <v>68000.36</v>
          </cell>
          <cell r="O61">
            <v>-0.04</v>
          </cell>
          <cell r="P61" t="str">
            <v>35.38%</v>
          </cell>
          <cell r="Q61">
            <v>61.49</v>
          </cell>
          <cell r="R61">
            <v>1</v>
          </cell>
          <cell r="S61">
            <v>199888</v>
          </cell>
          <cell r="T61">
            <v>70720.374400000001</v>
          </cell>
          <cell r="U61">
            <v>3174</v>
          </cell>
          <cell r="V61">
            <v>187059.52</v>
          </cell>
          <cell r="W61">
            <v>72073.72</v>
          </cell>
          <cell r="X61">
            <v>1.0154488033298601</v>
          </cell>
          <cell r="Y61">
            <v>0.973254526534859</v>
          </cell>
        </row>
        <row r="62">
          <cell r="A62">
            <v>723</v>
          </cell>
          <cell r="B62" t="str">
            <v>锦江区柳翠路药店</v>
          </cell>
          <cell r="C62" t="str">
            <v>城中片</v>
          </cell>
          <cell r="D62">
            <v>30</v>
          </cell>
          <cell r="E62">
            <v>95409.63</v>
          </cell>
          <cell r="F62">
            <v>3180</v>
          </cell>
          <cell r="G62">
            <v>3816</v>
          </cell>
          <cell r="H62">
            <v>90310.97</v>
          </cell>
          <cell r="I62">
            <v>3612.4387999999999</v>
          </cell>
          <cell r="J62">
            <v>3800</v>
          </cell>
          <cell r="K62">
            <v>3800</v>
          </cell>
          <cell r="L62">
            <v>117800</v>
          </cell>
          <cell r="M62">
            <v>1985.1702055948799</v>
          </cell>
          <cell r="N62">
            <v>37495.74</v>
          </cell>
          <cell r="O62">
            <v>-0.06</v>
          </cell>
          <cell r="P62" t="str">
            <v>31.83%</v>
          </cell>
          <cell r="Q62">
            <v>59.34</v>
          </cell>
          <cell r="R62">
            <v>1</v>
          </cell>
          <cell r="S62">
            <v>124868</v>
          </cell>
          <cell r="T62">
            <v>39745.484400000001</v>
          </cell>
          <cell r="U62">
            <v>2051</v>
          </cell>
          <cell r="V62">
            <v>94584.42</v>
          </cell>
          <cell r="W62">
            <v>29150.959999999999</v>
          </cell>
          <cell r="X62">
            <v>1.0331607809847201</v>
          </cell>
          <cell r="Y62">
            <v>0.80292376910017005</v>
          </cell>
        </row>
        <row r="63">
          <cell r="A63">
            <v>718</v>
          </cell>
          <cell r="B63" t="str">
            <v>驿生路药店</v>
          </cell>
          <cell r="C63" t="str">
            <v>城中片</v>
          </cell>
          <cell r="D63">
            <v>30</v>
          </cell>
          <cell r="E63">
            <v>83576.72</v>
          </cell>
          <cell r="F63">
            <v>2786</v>
          </cell>
          <cell r="G63">
            <v>3343.2</v>
          </cell>
          <cell r="H63">
            <v>64153.38</v>
          </cell>
          <cell r="I63">
            <v>2566.1352000000002</v>
          </cell>
          <cell r="J63">
            <v>3000</v>
          </cell>
          <cell r="K63">
            <v>3000</v>
          </cell>
          <cell r="L63">
            <v>93000</v>
          </cell>
          <cell r="M63">
            <v>1122.3750905141201</v>
          </cell>
          <cell r="N63">
            <v>25175.1</v>
          </cell>
          <cell r="O63">
            <v>-0.06</v>
          </cell>
          <cell r="P63" t="str">
            <v>27.07%</v>
          </cell>
          <cell r="Q63">
            <v>82.86</v>
          </cell>
          <cell r="R63">
            <v>1</v>
          </cell>
          <cell r="S63">
            <v>98580</v>
          </cell>
          <cell r="T63">
            <v>26685.606</v>
          </cell>
          <cell r="U63">
            <v>1037</v>
          </cell>
          <cell r="V63">
            <v>81825.149999999994</v>
          </cell>
          <cell r="W63">
            <v>23064.78</v>
          </cell>
          <cell r="X63">
            <v>0.92393354838709696</v>
          </cell>
          <cell r="Y63">
            <v>0.87984032258064504</v>
          </cell>
        </row>
        <row r="64">
          <cell r="A64">
            <v>102935</v>
          </cell>
          <cell r="B64" t="str">
            <v>青羊区童子街</v>
          </cell>
          <cell r="C64" t="str">
            <v>城中片</v>
          </cell>
          <cell r="D64">
            <v>30</v>
          </cell>
          <cell r="E64">
            <v>0</v>
          </cell>
          <cell r="F64">
            <v>0</v>
          </cell>
          <cell r="G64">
            <v>0</v>
          </cell>
          <cell r="H64">
            <v>40589.85</v>
          </cell>
          <cell r="I64">
            <v>1623.5940000000001</v>
          </cell>
          <cell r="J64">
            <v>2000</v>
          </cell>
          <cell r="K64">
            <v>2600</v>
          </cell>
          <cell r="L64">
            <v>80600</v>
          </cell>
          <cell r="M64">
            <v>1701</v>
          </cell>
          <cell r="N64">
            <v>24986</v>
          </cell>
          <cell r="P64">
            <v>0.31</v>
          </cell>
          <cell r="R64">
            <v>2</v>
          </cell>
          <cell r="S64">
            <v>90272</v>
          </cell>
          <cell r="T64">
            <v>27984.32</v>
          </cell>
          <cell r="U64">
            <v>2130</v>
          </cell>
          <cell r="V64">
            <v>100296.89</v>
          </cell>
          <cell r="W64">
            <v>29859.279999999999</v>
          </cell>
          <cell r="X64">
            <v>1.25220458553792</v>
          </cell>
          <cell r="Y64">
            <v>1.24437828784119</v>
          </cell>
        </row>
        <row r="65">
          <cell r="A65">
            <v>102479</v>
          </cell>
          <cell r="B65" t="str">
            <v>劼人路药店</v>
          </cell>
          <cell r="C65" t="str">
            <v>城中片</v>
          </cell>
          <cell r="D65">
            <v>30</v>
          </cell>
          <cell r="E65">
            <v>0</v>
          </cell>
          <cell r="F65">
            <v>0</v>
          </cell>
          <cell r="G65">
            <v>0</v>
          </cell>
          <cell r="H65">
            <v>52196.81</v>
          </cell>
          <cell r="I65">
            <v>2087.8724000000002</v>
          </cell>
          <cell r="J65">
            <v>2000</v>
          </cell>
          <cell r="K65">
            <v>3000</v>
          </cell>
          <cell r="L65">
            <v>93000</v>
          </cell>
          <cell r="M65">
            <v>2545.1559934318602</v>
          </cell>
          <cell r="N65">
            <v>33238.199999999997</v>
          </cell>
          <cell r="O65">
            <v>0.293333333333333</v>
          </cell>
          <cell r="P65" t="str">
            <v>35.74%</v>
          </cell>
          <cell r="Q65">
            <v>36.54</v>
          </cell>
          <cell r="R65">
            <v>1</v>
          </cell>
          <cell r="S65">
            <v>98580</v>
          </cell>
          <cell r="T65">
            <v>35232.491999999998</v>
          </cell>
          <cell r="U65">
            <v>1806</v>
          </cell>
          <cell r="V65">
            <v>72589.48</v>
          </cell>
          <cell r="W65">
            <v>23692.21</v>
          </cell>
          <cell r="X65">
            <v>0.70958322580644995</v>
          </cell>
          <cell r="Y65">
            <v>0.78053204301075296</v>
          </cell>
        </row>
        <row r="66">
          <cell r="A66">
            <v>102478</v>
          </cell>
          <cell r="B66" t="str">
            <v>静明路药店</v>
          </cell>
          <cell r="C66" t="str">
            <v>城中片</v>
          </cell>
          <cell r="D66">
            <v>30</v>
          </cell>
          <cell r="E66">
            <v>0</v>
          </cell>
          <cell r="F66">
            <v>0</v>
          </cell>
          <cell r="G66">
            <v>0</v>
          </cell>
          <cell r="H66">
            <v>28154.87</v>
          </cell>
          <cell r="I66">
            <v>1126.1948</v>
          </cell>
          <cell r="J66">
            <v>1200</v>
          </cell>
          <cell r="K66">
            <v>2000</v>
          </cell>
          <cell r="L66">
            <v>62000</v>
          </cell>
          <cell r="M66">
            <v>1436.18253416725</v>
          </cell>
          <cell r="N66">
            <v>19468</v>
          </cell>
          <cell r="O66">
            <v>0.36399999999999999</v>
          </cell>
          <cell r="P66" t="str">
            <v>31.4%</v>
          </cell>
          <cell r="Q66">
            <v>43.17</v>
          </cell>
          <cell r="R66">
            <v>1</v>
          </cell>
          <cell r="S66">
            <v>65720</v>
          </cell>
          <cell r="T66">
            <v>20636.080000000002</v>
          </cell>
          <cell r="U66">
            <v>881</v>
          </cell>
          <cell r="V66">
            <v>56278.01</v>
          </cell>
          <cell r="W66">
            <v>13408.58</v>
          </cell>
          <cell r="X66">
            <v>0.613431774193547</v>
          </cell>
          <cell r="Y66">
            <v>0.90770983870967703</v>
          </cell>
        </row>
        <row r="67">
          <cell r="A67">
            <v>341</v>
          </cell>
          <cell r="B67" t="str">
            <v>邛崃中心药店</v>
          </cell>
          <cell r="C67" t="str">
            <v>城郊一片</v>
          </cell>
          <cell r="D67">
            <v>30</v>
          </cell>
          <cell r="E67">
            <v>436472.78</v>
          </cell>
          <cell r="F67">
            <v>14549</v>
          </cell>
          <cell r="G67">
            <v>17458.8</v>
          </cell>
          <cell r="H67">
            <v>460141.28</v>
          </cell>
          <cell r="I67">
            <v>18405.6512</v>
          </cell>
          <cell r="J67">
            <v>19400</v>
          </cell>
          <cell r="K67">
            <v>19400</v>
          </cell>
          <cell r="L67">
            <v>601400</v>
          </cell>
          <cell r="M67">
            <v>6498.1091301998904</v>
          </cell>
          <cell r="N67">
            <v>196838.22</v>
          </cell>
          <cell r="O67">
            <v>-0.03</v>
          </cell>
          <cell r="P67" t="str">
            <v>32.73%</v>
          </cell>
          <cell r="Q67">
            <v>92.55</v>
          </cell>
          <cell r="R67">
            <v>1</v>
          </cell>
          <cell r="S67">
            <v>619442</v>
          </cell>
          <cell r="T67">
            <v>202743.36660000001</v>
          </cell>
          <cell r="U67">
            <v>6583</v>
          </cell>
          <cell r="V67">
            <v>604451.27</v>
          </cell>
          <cell r="W67">
            <v>192124.3</v>
          </cell>
          <cell r="X67">
            <v>1.01306393415364</v>
          </cell>
          <cell r="Y67">
            <v>1.0050736115729999</v>
          </cell>
        </row>
        <row r="68">
          <cell r="A68">
            <v>385</v>
          </cell>
          <cell r="B68" t="str">
            <v>五津西路药店</v>
          </cell>
          <cell r="C68" t="str">
            <v>城郊一片</v>
          </cell>
          <cell r="D68">
            <v>30</v>
          </cell>
          <cell r="E68">
            <v>394575.97</v>
          </cell>
          <cell r="F68">
            <v>13153</v>
          </cell>
          <cell r="G68">
            <v>15783.6</v>
          </cell>
          <cell r="H68">
            <v>282665.21000000002</v>
          </cell>
          <cell r="I68">
            <v>11306.608399999999</v>
          </cell>
          <cell r="J68">
            <v>9500</v>
          </cell>
          <cell r="K68">
            <v>10000</v>
          </cell>
          <cell r="L68">
            <v>310000</v>
          </cell>
          <cell r="M68">
            <v>2726.4731750219898</v>
          </cell>
          <cell r="N68">
            <v>85529</v>
          </cell>
          <cell r="O68">
            <v>-2.5999999999999999E-2</v>
          </cell>
          <cell r="P68" t="str">
            <v>27.59%</v>
          </cell>
          <cell r="Q68">
            <v>113.7</v>
          </cell>
          <cell r="R68">
            <v>2</v>
          </cell>
          <cell r="S68">
            <v>334800</v>
          </cell>
          <cell r="T68">
            <v>92371.32</v>
          </cell>
          <cell r="U68">
            <v>3287</v>
          </cell>
          <cell r="V68">
            <v>336161.9</v>
          </cell>
          <cell r="W68">
            <v>88055.47</v>
          </cell>
          <cell r="X68">
            <v>1.20558677419355</v>
          </cell>
          <cell r="Y68">
            <v>1.0843932258064499</v>
          </cell>
        </row>
        <row r="69">
          <cell r="A69">
            <v>746</v>
          </cell>
          <cell r="B69" t="str">
            <v>桃源药店</v>
          </cell>
          <cell r="C69" t="str">
            <v>城郊一片</v>
          </cell>
          <cell r="D69">
            <v>30</v>
          </cell>
          <cell r="E69">
            <v>150295.57999999999</v>
          </cell>
          <cell r="F69">
            <v>5010</v>
          </cell>
          <cell r="G69">
            <v>6012</v>
          </cell>
          <cell r="H69">
            <v>147799.85999999999</v>
          </cell>
          <cell r="I69">
            <v>5911.9943999999996</v>
          </cell>
          <cell r="J69">
            <v>6800</v>
          </cell>
          <cell r="K69">
            <v>6300</v>
          </cell>
          <cell r="L69">
            <v>195300</v>
          </cell>
          <cell r="M69">
            <v>2593.2811047669602</v>
          </cell>
          <cell r="N69">
            <v>54117.63</v>
          </cell>
          <cell r="O69">
            <v>-0.122539682539683</v>
          </cell>
          <cell r="P69" t="str">
            <v>27.71%</v>
          </cell>
          <cell r="Q69">
            <v>75.31</v>
          </cell>
          <cell r="R69">
            <v>1</v>
          </cell>
          <cell r="S69">
            <v>203112</v>
          </cell>
          <cell r="T69">
            <v>56282.335200000001</v>
          </cell>
          <cell r="U69">
            <v>3132</v>
          </cell>
          <cell r="V69">
            <v>182034.75</v>
          </cell>
          <cell r="W69">
            <v>60339.15</v>
          </cell>
          <cell r="X69">
            <v>1.20773640552996</v>
          </cell>
          <cell r="Y69">
            <v>0.93207757296466998</v>
          </cell>
        </row>
        <row r="70">
          <cell r="A70">
            <v>514</v>
          </cell>
          <cell r="B70" t="str">
            <v>邓双镇岷江店</v>
          </cell>
          <cell r="C70" t="str">
            <v>城郊一片</v>
          </cell>
          <cell r="D70">
            <v>30</v>
          </cell>
          <cell r="E70">
            <v>234313.77</v>
          </cell>
          <cell r="F70">
            <v>7810</v>
          </cell>
          <cell r="G70">
            <v>9372</v>
          </cell>
          <cell r="H70">
            <v>197134.94</v>
          </cell>
          <cell r="I70">
            <v>7885.3976000000002</v>
          </cell>
          <cell r="J70">
            <v>9400</v>
          </cell>
          <cell r="K70">
            <v>9000</v>
          </cell>
          <cell r="L70">
            <v>279000</v>
          </cell>
          <cell r="M70">
            <v>4535.1105331599501</v>
          </cell>
          <cell r="N70">
            <v>92823.3</v>
          </cell>
          <cell r="O70">
            <v>-8.62222222222222E-2</v>
          </cell>
          <cell r="P70" t="str">
            <v>33.27%</v>
          </cell>
          <cell r="Q70">
            <v>61.52</v>
          </cell>
          <cell r="R70">
            <v>1</v>
          </cell>
          <cell r="S70">
            <v>290160</v>
          </cell>
          <cell r="T70">
            <v>96536.232000000004</v>
          </cell>
          <cell r="U70">
            <v>3823</v>
          </cell>
          <cell r="V70">
            <v>234053.78</v>
          </cell>
          <cell r="W70">
            <v>76299.570000000007</v>
          </cell>
          <cell r="X70">
            <v>0.84297835125447995</v>
          </cell>
          <cell r="Y70">
            <v>0.83890243727598601</v>
          </cell>
        </row>
        <row r="71">
          <cell r="A71">
            <v>721</v>
          </cell>
          <cell r="B71" t="str">
            <v>洪川小区药店</v>
          </cell>
          <cell r="C71" t="str">
            <v>城郊一片</v>
          </cell>
          <cell r="D71">
            <v>30</v>
          </cell>
          <cell r="E71">
            <v>64031.22</v>
          </cell>
          <cell r="F71">
            <v>2134</v>
          </cell>
          <cell r="G71">
            <v>2560.8000000000002</v>
          </cell>
          <cell r="H71">
            <v>113687.19</v>
          </cell>
          <cell r="I71">
            <v>4547.4876000000004</v>
          </cell>
          <cell r="J71">
            <v>5200</v>
          </cell>
          <cell r="K71">
            <v>5200</v>
          </cell>
          <cell r="L71">
            <v>161200</v>
          </cell>
          <cell r="M71">
            <v>2835.5321020228698</v>
          </cell>
          <cell r="N71">
            <v>55098.16</v>
          </cell>
          <cell r="O71">
            <v>-0.04</v>
          </cell>
          <cell r="P71" t="str">
            <v>34.18%</v>
          </cell>
          <cell r="Q71">
            <v>56.85</v>
          </cell>
          <cell r="R71">
            <v>1</v>
          </cell>
          <cell r="S71">
            <v>167648</v>
          </cell>
          <cell r="T71">
            <v>57302.0864</v>
          </cell>
          <cell r="U71">
            <v>2634</v>
          </cell>
          <cell r="V71">
            <v>148141.26999999999</v>
          </cell>
          <cell r="W71">
            <v>50913.4</v>
          </cell>
          <cell r="X71">
            <v>0.92892617866004901</v>
          </cell>
          <cell r="Y71">
            <v>0.91899050868486298</v>
          </cell>
        </row>
        <row r="72">
          <cell r="A72">
            <v>591</v>
          </cell>
          <cell r="B72" t="str">
            <v>长安大道药店</v>
          </cell>
          <cell r="C72" t="str">
            <v>城郊一片</v>
          </cell>
          <cell r="D72">
            <v>30</v>
          </cell>
          <cell r="E72">
            <v>125137.51</v>
          </cell>
          <cell r="F72">
            <v>4171</v>
          </cell>
          <cell r="G72">
            <v>5005.2</v>
          </cell>
          <cell r="H72">
            <v>105778.84</v>
          </cell>
          <cell r="I72">
            <v>4231.1535999999996</v>
          </cell>
          <cell r="J72">
            <v>5500</v>
          </cell>
          <cell r="K72">
            <v>4500</v>
          </cell>
          <cell r="L72">
            <v>139500</v>
          </cell>
          <cell r="M72">
            <v>2033.23130738959</v>
          </cell>
          <cell r="N72">
            <v>46481.4</v>
          </cell>
          <cell r="O72">
            <v>-0.27111111111111103</v>
          </cell>
          <cell r="P72" t="str">
            <v>33.32%</v>
          </cell>
          <cell r="Q72">
            <v>68.61</v>
          </cell>
          <cell r="R72">
            <v>1</v>
          </cell>
          <cell r="S72">
            <v>145080</v>
          </cell>
          <cell r="T72">
            <v>48340.656000000003</v>
          </cell>
          <cell r="U72">
            <v>2179</v>
          </cell>
          <cell r="V72">
            <v>132911.4</v>
          </cell>
          <cell r="W72">
            <v>43482.27</v>
          </cell>
          <cell r="X72">
            <v>1.0716931182795699</v>
          </cell>
          <cell r="Y72">
            <v>0.95276989247311805</v>
          </cell>
        </row>
        <row r="73">
          <cell r="A73">
            <v>748</v>
          </cell>
          <cell r="B73" t="str">
            <v>晋原镇东街药店</v>
          </cell>
          <cell r="C73" t="str">
            <v>城郊一片</v>
          </cell>
          <cell r="D73">
            <v>30</v>
          </cell>
          <cell r="E73">
            <v>95099.98</v>
          </cell>
          <cell r="F73">
            <v>3170</v>
          </cell>
          <cell r="G73">
            <v>3804</v>
          </cell>
          <cell r="H73">
            <v>107446.19</v>
          </cell>
          <cell r="I73">
            <v>4297.8476000000001</v>
          </cell>
          <cell r="J73">
            <v>4000</v>
          </cell>
          <cell r="K73">
            <v>4000</v>
          </cell>
          <cell r="L73">
            <v>124000</v>
          </cell>
          <cell r="M73">
            <v>1694.9152542372899</v>
          </cell>
          <cell r="N73">
            <v>40870.400000000001</v>
          </cell>
          <cell r="O73">
            <v>-0.06</v>
          </cell>
          <cell r="P73" t="str">
            <v>32.96%</v>
          </cell>
          <cell r="Q73">
            <v>73.16</v>
          </cell>
          <cell r="R73">
            <v>1</v>
          </cell>
          <cell r="S73">
            <v>131440</v>
          </cell>
          <cell r="T73">
            <v>43322.624000000003</v>
          </cell>
          <cell r="U73">
            <v>1957</v>
          </cell>
          <cell r="V73">
            <v>126258.71</v>
          </cell>
          <cell r="W73">
            <v>39269.94</v>
          </cell>
          <cell r="X73">
            <v>1.15463</v>
          </cell>
          <cell r="Y73">
            <v>1.0182154032258099</v>
          </cell>
        </row>
        <row r="74">
          <cell r="A74">
            <v>717</v>
          </cell>
          <cell r="B74" t="str">
            <v>通达东路五段药店</v>
          </cell>
          <cell r="C74" t="str">
            <v>城郊一片</v>
          </cell>
          <cell r="D74">
            <v>30</v>
          </cell>
          <cell r="E74">
            <v>118073.73</v>
          </cell>
          <cell r="F74">
            <v>3936</v>
          </cell>
          <cell r="G74">
            <v>4723.2</v>
          </cell>
          <cell r="H74">
            <v>105387.86</v>
          </cell>
          <cell r="I74">
            <v>4215.5144</v>
          </cell>
          <cell r="J74">
            <v>5500</v>
          </cell>
          <cell r="K74">
            <v>4800</v>
          </cell>
          <cell r="L74">
            <v>148800</v>
          </cell>
          <cell r="M74">
            <v>2553.1914893617</v>
          </cell>
          <cell r="N74">
            <v>47571.360000000001</v>
          </cell>
          <cell r="O74">
            <v>-0.19166666666666701</v>
          </cell>
          <cell r="P74" t="str">
            <v>31.97%</v>
          </cell>
          <cell r="Q74">
            <v>58.28</v>
          </cell>
          <cell r="R74">
            <v>1</v>
          </cell>
          <cell r="S74">
            <v>154752</v>
          </cell>
          <cell r="T74">
            <v>49474.214399999997</v>
          </cell>
          <cell r="U74">
            <v>1822</v>
          </cell>
          <cell r="V74">
            <v>121712.11</v>
          </cell>
          <cell r="W74">
            <v>37374.230000000003</v>
          </cell>
          <cell r="X74">
            <v>0.71361666666666701</v>
          </cell>
          <cell r="Y74">
            <v>0.817957728494624</v>
          </cell>
        </row>
        <row r="75">
          <cell r="A75">
            <v>539</v>
          </cell>
          <cell r="B75" t="str">
            <v>子龙路店</v>
          </cell>
          <cell r="C75" t="str">
            <v>城郊一片</v>
          </cell>
          <cell r="D75">
            <v>30</v>
          </cell>
          <cell r="E75">
            <v>90333.13</v>
          </cell>
          <cell r="F75">
            <v>3011</v>
          </cell>
          <cell r="G75">
            <v>3613.2</v>
          </cell>
          <cell r="H75">
            <v>90928.85</v>
          </cell>
          <cell r="I75">
            <v>3637.154</v>
          </cell>
          <cell r="J75">
            <v>4100</v>
          </cell>
          <cell r="K75">
            <v>3500</v>
          </cell>
          <cell r="L75">
            <v>108500</v>
          </cell>
          <cell r="M75">
            <v>1414.6023468057399</v>
          </cell>
          <cell r="N75">
            <v>33428.85</v>
          </cell>
          <cell r="O75">
            <v>-0.218285714285714</v>
          </cell>
          <cell r="P75" t="str">
            <v>30.81%</v>
          </cell>
          <cell r="Q75">
            <v>76.7</v>
          </cell>
          <cell r="R75">
            <v>1</v>
          </cell>
          <cell r="S75">
            <v>115010</v>
          </cell>
          <cell r="T75">
            <v>35434.580999999998</v>
          </cell>
          <cell r="U75">
            <v>1730</v>
          </cell>
          <cell r="V75">
            <v>109142</v>
          </cell>
          <cell r="W75">
            <v>33972.699999999997</v>
          </cell>
          <cell r="X75">
            <v>1.2229585253456201</v>
          </cell>
          <cell r="Y75">
            <v>1.00591705069124</v>
          </cell>
        </row>
        <row r="76">
          <cell r="A76">
            <v>549</v>
          </cell>
          <cell r="B76" t="str">
            <v>东壕沟段药店</v>
          </cell>
          <cell r="C76" t="str">
            <v>城郊一片</v>
          </cell>
          <cell r="D76">
            <v>30</v>
          </cell>
          <cell r="E76">
            <v>100792.37</v>
          </cell>
          <cell r="F76">
            <v>3360</v>
          </cell>
          <cell r="G76">
            <v>4032</v>
          </cell>
          <cell r="H76">
            <v>92971.65</v>
          </cell>
          <cell r="I76">
            <v>3718.866</v>
          </cell>
          <cell r="J76">
            <v>3700</v>
          </cell>
          <cell r="K76">
            <v>3700</v>
          </cell>
          <cell r="L76">
            <v>114700</v>
          </cell>
          <cell r="M76">
            <v>1500.13078733979</v>
          </cell>
          <cell r="N76">
            <v>33079.480000000003</v>
          </cell>
          <cell r="O76">
            <v>-0.06</v>
          </cell>
          <cell r="P76" t="str">
            <v>28.84%</v>
          </cell>
          <cell r="Q76">
            <v>76.459999999999994</v>
          </cell>
          <cell r="R76">
            <v>1</v>
          </cell>
          <cell r="S76">
            <v>121582</v>
          </cell>
          <cell r="T76">
            <v>35064.248800000001</v>
          </cell>
          <cell r="U76">
            <v>1628</v>
          </cell>
          <cell r="V76">
            <v>113705.35</v>
          </cell>
          <cell r="W76">
            <v>31528.33</v>
          </cell>
          <cell r="X76">
            <v>1.0852387096774201</v>
          </cell>
          <cell r="Y76">
            <v>0.99132824760244098</v>
          </cell>
        </row>
        <row r="77">
          <cell r="A77">
            <v>716</v>
          </cell>
          <cell r="B77" t="str">
            <v>沙渠镇方圆路药店</v>
          </cell>
          <cell r="C77" t="str">
            <v>城郊一片</v>
          </cell>
          <cell r="D77">
            <v>30</v>
          </cell>
          <cell r="E77">
            <v>98295.61</v>
          </cell>
          <cell r="F77">
            <v>3277</v>
          </cell>
          <cell r="G77">
            <v>3932.4</v>
          </cell>
          <cell r="H77">
            <v>97407.26</v>
          </cell>
          <cell r="I77">
            <v>3896.2903999999999</v>
          </cell>
          <cell r="J77">
            <v>3600</v>
          </cell>
          <cell r="K77">
            <v>3600</v>
          </cell>
          <cell r="L77">
            <v>111600</v>
          </cell>
          <cell r="M77">
            <v>1372.69372693727</v>
          </cell>
          <cell r="N77">
            <v>33948.720000000001</v>
          </cell>
          <cell r="O77">
            <v>-0.06</v>
          </cell>
          <cell r="P77" t="str">
            <v>30.42%</v>
          </cell>
          <cell r="Q77">
            <v>81.3</v>
          </cell>
          <cell r="R77">
            <v>1</v>
          </cell>
          <cell r="S77">
            <v>118296</v>
          </cell>
          <cell r="T77">
            <v>35985.643199999999</v>
          </cell>
          <cell r="U77">
            <v>2115</v>
          </cell>
          <cell r="V77">
            <v>105889.58</v>
          </cell>
          <cell r="W77">
            <v>33696.81</v>
          </cell>
          <cell r="X77">
            <v>1.5407661290322601</v>
          </cell>
          <cell r="Y77">
            <v>0.948831362007168</v>
          </cell>
        </row>
        <row r="78">
          <cell r="A78">
            <v>720</v>
          </cell>
          <cell r="B78" t="str">
            <v>新场镇文昌街药店</v>
          </cell>
          <cell r="C78" t="str">
            <v>城郊一片</v>
          </cell>
          <cell r="D78">
            <v>30</v>
          </cell>
          <cell r="E78">
            <v>99427.199999999997</v>
          </cell>
          <cell r="F78">
            <v>3314</v>
          </cell>
          <cell r="G78">
            <v>3976.8</v>
          </cell>
          <cell r="H78">
            <v>78685.38</v>
          </cell>
          <cell r="I78">
            <v>3147.4151999999999</v>
          </cell>
          <cell r="J78">
            <v>3400</v>
          </cell>
          <cell r="K78">
            <v>3400</v>
          </cell>
          <cell r="L78">
            <v>105400</v>
          </cell>
          <cell r="M78">
            <v>1633.60198388097</v>
          </cell>
          <cell r="N78">
            <v>32579.14</v>
          </cell>
          <cell r="O78">
            <v>-0.06</v>
          </cell>
          <cell r="P78" t="str">
            <v>30.91%</v>
          </cell>
          <cell r="Q78">
            <v>64.52</v>
          </cell>
          <cell r="R78">
            <v>1</v>
          </cell>
          <cell r="S78">
            <v>111724</v>
          </cell>
          <cell r="T78">
            <v>34533.888400000003</v>
          </cell>
          <cell r="U78">
            <v>1819</v>
          </cell>
          <cell r="V78">
            <v>105595.29</v>
          </cell>
          <cell r="W78">
            <v>34263.65</v>
          </cell>
          <cell r="X78">
            <v>1.1134903225806401</v>
          </cell>
          <cell r="Y78">
            <v>1.00185284629981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</v>
          </cell>
          <cell r="D79">
            <v>30</v>
          </cell>
          <cell r="E79">
            <v>100634.91</v>
          </cell>
          <cell r="F79">
            <v>3354</v>
          </cell>
          <cell r="G79">
            <v>4024.8</v>
          </cell>
          <cell r="H79">
            <v>70688.34</v>
          </cell>
          <cell r="I79">
            <v>2827.5336000000002</v>
          </cell>
          <cell r="J79">
            <v>3800</v>
          </cell>
          <cell r="K79">
            <v>3800</v>
          </cell>
          <cell r="L79">
            <v>117800</v>
          </cell>
          <cell r="M79">
            <v>2173.03080612433</v>
          </cell>
          <cell r="N79">
            <v>39639.699999999997</v>
          </cell>
          <cell r="O79">
            <v>-0.06</v>
          </cell>
          <cell r="P79" t="str">
            <v>33.65%</v>
          </cell>
          <cell r="Q79">
            <v>54.21</v>
          </cell>
          <cell r="R79">
            <v>1</v>
          </cell>
          <cell r="S79">
            <v>124868</v>
          </cell>
          <cell r="T79">
            <v>42018.082000000002</v>
          </cell>
          <cell r="U79">
            <v>2022</v>
          </cell>
          <cell r="V79">
            <v>97630.69</v>
          </cell>
          <cell r="W79">
            <v>31503.35</v>
          </cell>
          <cell r="X79">
            <v>0.93049762308998396</v>
          </cell>
          <cell r="Y79">
            <v>0.82878344651952496</v>
          </cell>
        </row>
        <row r="80">
          <cell r="A80">
            <v>732</v>
          </cell>
          <cell r="B80" t="str">
            <v>永康大道药店</v>
          </cell>
          <cell r="C80" t="str">
            <v>城郊一片</v>
          </cell>
          <cell r="D80">
            <v>30</v>
          </cell>
          <cell r="E80">
            <v>108384.27</v>
          </cell>
          <cell r="F80">
            <v>3613</v>
          </cell>
          <cell r="G80">
            <v>4335.6000000000004</v>
          </cell>
          <cell r="H80">
            <v>84216.49</v>
          </cell>
          <cell r="I80">
            <v>3368.6596</v>
          </cell>
          <cell r="J80">
            <v>3800</v>
          </cell>
          <cell r="K80">
            <v>3800</v>
          </cell>
          <cell r="L80">
            <v>117800</v>
          </cell>
          <cell r="M80">
            <v>1502.35939293457</v>
          </cell>
          <cell r="N80">
            <v>36305.96</v>
          </cell>
          <cell r="O80">
            <v>-0.06</v>
          </cell>
          <cell r="P80" t="str">
            <v>30.82%</v>
          </cell>
          <cell r="Q80">
            <v>78.41</v>
          </cell>
          <cell r="R80">
            <v>1</v>
          </cell>
          <cell r="S80">
            <v>124868</v>
          </cell>
          <cell r="T80">
            <v>38484.317600000002</v>
          </cell>
          <cell r="U80">
            <v>1478</v>
          </cell>
          <cell r="V80">
            <v>93959.81</v>
          </cell>
          <cell r="W80">
            <v>28084.77</v>
          </cell>
          <cell r="X80">
            <v>0.983785908319188</v>
          </cell>
          <cell r="Y80">
            <v>0.79762147707979603</v>
          </cell>
        </row>
        <row r="81">
          <cell r="A81">
            <v>102567</v>
          </cell>
          <cell r="B81" t="str">
            <v>新津武阳西路</v>
          </cell>
          <cell r="C81" t="str">
            <v>城郊一片</v>
          </cell>
          <cell r="D81">
            <v>30</v>
          </cell>
          <cell r="E81">
            <v>0</v>
          </cell>
          <cell r="F81">
            <v>0</v>
          </cell>
          <cell r="G81">
            <v>0</v>
          </cell>
          <cell r="H81">
            <v>53562.64</v>
          </cell>
          <cell r="I81">
            <v>2142.5056</v>
          </cell>
          <cell r="J81">
            <v>1500</v>
          </cell>
          <cell r="K81">
            <v>2500</v>
          </cell>
          <cell r="L81">
            <v>77500</v>
          </cell>
          <cell r="M81">
            <v>1771.42857142857</v>
          </cell>
          <cell r="N81">
            <v>24025</v>
          </cell>
          <cell r="O81">
            <v>0.36399999999999999</v>
          </cell>
          <cell r="P81">
            <v>0.31</v>
          </cell>
          <cell r="Q81">
            <v>43.75</v>
          </cell>
          <cell r="R81">
            <v>1</v>
          </cell>
          <cell r="S81">
            <v>82150</v>
          </cell>
          <cell r="T81">
            <v>25466.5</v>
          </cell>
          <cell r="U81">
            <v>1046</v>
          </cell>
          <cell r="V81">
            <v>63852.61</v>
          </cell>
          <cell r="W81">
            <v>21117.95</v>
          </cell>
          <cell r="X81">
            <v>0.59048387096774202</v>
          </cell>
          <cell r="Y81">
            <v>0.82390464516129003</v>
          </cell>
        </row>
        <row r="82">
          <cell r="A82">
            <v>102564</v>
          </cell>
          <cell r="B82" t="str">
            <v>邛崃翠荫街</v>
          </cell>
          <cell r="C82" t="str">
            <v>城郊一片</v>
          </cell>
          <cell r="D82">
            <v>30</v>
          </cell>
          <cell r="E82">
            <v>0</v>
          </cell>
          <cell r="F82">
            <v>0</v>
          </cell>
          <cell r="G82">
            <v>0</v>
          </cell>
          <cell r="H82">
            <v>22369.38</v>
          </cell>
          <cell r="I82">
            <v>894.77520000000004</v>
          </cell>
          <cell r="J82">
            <v>1500</v>
          </cell>
          <cell r="K82">
            <v>1500</v>
          </cell>
          <cell r="L82">
            <v>46500</v>
          </cell>
          <cell r="M82">
            <v>793</v>
          </cell>
          <cell r="N82">
            <v>14415</v>
          </cell>
          <cell r="O82">
            <v>-0.06</v>
          </cell>
          <cell r="P82">
            <v>0.31</v>
          </cell>
          <cell r="R82">
            <v>1</v>
          </cell>
          <cell r="S82">
            <v>49290</v>
          </cell>
          <cell r="T82">
            <v>15279.9</v>
          </cell>
          <cell r="U82">
            <v>942</v>
          </cell>
          <cell r="V82">
            <v>53861.440000000002</v>
          </cell>
          <cell r="W82">
            <v>14133.7</v>
          </cell>
          <cell r="X82">
            <v>1.1878940731399701</v>
          </cell>
          <cell r="Y82">
            <v>1.1583105376344101</v>
          </cell>
        </row>
        <row r="83">
          <cell r="A83">
            <v>594</v>
          </cell>
          <cell r="B83" t="str">
            <v>千禧街药店</v>
          </cell>
          <cell r="C83" t="str">
            <v>城郊一片</v>
          </cell>
          <cell r="D83">
            <v>30</v>
          </cell>
          <cell r="E83">
            <v>80137.38</v>
          </cell>
          <cell r="F83">
            <v>2671</v>
          </cell>
          <cell r="G83">
            <v>3205.2</v>
          </cell>
          <cell r="H83">
            <v>76490.259999999995</v>
          </cell>
          <cell r="I83">
            <v>3059.6104</v>
          </cell>
          <cell r="J83">
            <v>3600</v>
          </cell>
          <cell r="K83">
            <v>3600</v>
          </cell>
          <cell r="L83">
            <v>111600</v>
          </cell>
          <cell r="M83">
            <v>1805.82524271845</v>
          </cell>
          <cell r="N83">
            <v>32988.959999999999</v>
          </cell>
          <cell r="O83">
            <v>-0.06</v>
          </cell>
          <cell r="P83" t="str">
            <v>29.56%</v>
          </cell>
          <cell r="Q83">
            <v>61.8</v>
          </cell>
          <cell r="R83">
            <v>1</v>
          </cell>
          <cell r="S83">
            <v>118296</v>
          </cell>
          <cell r="T83">
            <v>34968.297599999998</v>
          </cell>
          <cell r="U83">
            <v>1358</v>
          </cell>
          <cell r="V83">
            <v>91277.57</v>
          </cell>
          <cell r="W83">
            <v>27604.85</v>
          </cell>
          <cell r="X83">
            <v>0.75201075268817097</v>
          </cell>
          <cell r="Y83">
            <v>0.81789937275985702</v>
          </cell>
        </row>
        <row r="84">
          <cell r="A84">
            <v>329</v>
          </cell>
          <cell r="B84" t="str">
            <v>温江店</v>
          </cell>
          <cell r="C84" t="str">
            <v>城郊二片</v>
          </cell>
          <cell r="D84">
            <v>30</v>
          </cell>
          <cell r="E84">
            <v>193905.89</v>
          </cell>
          <cell r="F84">
            <v>6464</v>
          </cell>
          <cell r="G84">
            <v>7756.8</v>
          </cell>
          <cell r="H84">
            <v>201865.15</v>
          </cell>
          <cell r="I84">
            <v>8074.6059999999998</v>
          </cell>
          <cell r="J84">
            <v>6600</v>
          </cell>
          <cell r="K84">
            <v>6500</v>
          </cell>
          <cell r="L84">
            <v>201500</v>
          </cell>
          <cell r="M84">
            <v>1690.5780686299199</v>
          </cell>
          <cell r="N84">
            <v>59865.65</v>
          </cell>
          <cell r="O84">
            <v>-5.6000000000000001E-2</v>
          </cell>
          <cell r="P84" t="str">
            <v>29.71%</v>
          </cell>
          <cell r="Q84">
            <v>119.19</v>
          </cell>
          <cell r="R84">
            <v>1</v>
          </cell>
          <cell r="S84">
            <v>209560</v>
          </cell>
          <cell r="T84">
            <v>62260.275999999998</v>
          </cell>
          <cell r="U84">
            <v>1866</v>
          </cell>
          <cell r="V84">
            <v>178553.66</v>
          </cell>
          <cell r="W84">
            <v>58028.78</v>
          </cell>
          <cell r="X84">
            <v>1.10376446650124</v>
          </cell>
          <cell r="Y84">
            <v>0.88612238213399497</v>
          </cell>
        </row>
        <row r="85">
          <cell r="A85">
            <v>587</v>
          </cell>
          <cell r="B85" t="str">
            <v>都江堰景中路店</v>
          </cell>
          <cell r="C85" t="str">
            <v>城郊二片</v>
          </cell>
          <cell r="D85">
            <v>30</v>
          </cell>
          <cell r="E85">
            <v>156017.04999999999</v>
          </cell>
          <cell r="F85">
            <v>5201</v>
          </cell>
          <cell r="G85">
            <v>6241.2</v>
          </cell>
          <cell r="H85">
            <v>128613.5</v>
          </cell>
          <cell r="I85">
            <v>5144.54</v>
          </cell>
          <cell r="J85">
            <v>6500</v>
          </cell>
          <cell r="K85">
            <v>6000</v>
          </cell>
          <cell r="L85">
            <v>186000</v>
          </cell>
          <cell r="M85">
            <v>1927.8606965174099</v>
          </cell>
          <cell r="N85">
            <v>48732</v>
          </cell>
          <cell r="O85">
            <v>-0.12666666666666701</v>
          </cell>
          <cell r="P85" t="str">
            <v>26.2%</v>
          </cell>
          <cell r="Q85">
            <v>96.48</v>
          </cell>
          <cell r="R85">
            <v>1</v>
          </cell>
          <cell r="S85">
            <v>193440</v>
          </cell>
          <cell r="T85">
            <v>50681.279999999999</v>
          </cell>
          <cell r="U85">
            <v>2151</v>
          </cell>
          <cell r="V85">
            <v>153022.57999999999</v>
          </cell>
          <cell r="W85">
            <v>46331.53</v>
          </cell>
          <cell r="X85">
            <v>1.11574451612903</v>
          </cell>
          <cell r="Y85">
            <v>0.822702043010753</v>
          </cell>
        </row>
        <row r="86">
          <cell r="A86">
            <v>54</v>
          </cell>
          <cell r="B86" t="str">
            <v>怀远店</v>
          </cell>
          <cell r="C86" t="str">
            <v>城郊二片</v>
          </cell>
          <cell r="D86">
            <v>30</v>
          </cell>
          <cell r="E86">
            <v>221599.24</v>
          </cell>
          <cell r="F86">
            <v>7387</v>
          </cell>
          <cell r="G86">
            <v>8864.4</v>
          </cell>
          <cell r="H86">
            <v>187199.55</v>
          </cell>
          <cell r="I86">
            <v>7487.982</v>
          </cell>
          <cell r="J86">
            <v>7700</v>
          </cell>
          <cell r="K86">
            <v>7000</v>
          </cell>
          <cell r="L86">
            <v>217000</v>
          </cell>
          <cell r="M86">
            <v>2902.23351611609</v>
          </cell>
          <cell r="N86">
            <v>70720.3</v>
          </cell>
          <cell r="O86">
            <v>-0.14399999999999999</v>
          </cell>
          <cell r="P86" t="str">
            <v>32.59%</v>
          </cell>
          <cell r="Q86">
            <v>74.77</v>
          </cell>
          <cell r="R86">
            <v>1</v>
          </cell>
          <cell r="S86">
            <v>225680</v>
          </cell>
          <cell r="T86">
            <v>73549.111999999994</v>
          </cell>
          <cell r="U86">
            <v>2979</v>
          </cell>
          <cell r="V86">
            <v>164344.57999999999</v>
          </cell>
          <cell r="W86">
            <v>55046.73</v>
          </cell>
          <cell r="X86">
            <v>1.0264508294930901</v>
          </cell>
          <cell r="Y86">
            <v>0.75734829493087596</v>
          </cell>
        </row>
        <row r="87">
          <cell r="A87">
            <v>52</v>
          </cell>
          <cell r="B87" t="str">
            <v>崇州中心店</v>
          </cell>
          <cell r="C87" t="str">
            <v>城郊二片</v>
          </cell>
          <cell r="D87">
            <v>30</v>
          </cell>
          <cell r="E87">
            <v>173749.73</v>
          </cell>
          <cell r="F87">
            <v>5792</v>
          </cell>
          <cell r="G87">
            <v>6950.4</v>
          </cell>
          <cell r="H87">
            <v>135966.88</v>
          </cell>
          <cell r="I87">
            <v>5438.6751999999997</v>
          </cell>
          <cell r="J87">
            <v>6200</v>
          </cell>
          <cell r="K87">
            <v>6200</v>
          </cell>
          <cell r="L87">
            <v>192200</v>
          </cell>
          <cell r="M87">
            <v>2624.6074013382499</v>
          </cell>
          <cell r="N87">
            <v>61600.1</v>
          </cell>
          <cell r="O87">
            <v>-0.04</v>
          </cell>
          <cell r="P87" t="str">
            <v>32.05%</v>
          </cell>
          <cell r="Q87">
            <v>73.23</v>
          </cell>
          <cell r="R87">
            <v>1</v>
          </cell>
          <cell r="S87">
            <v>199888</v>
          </cell>
          <cell r="T87">
            <v>64064.103999999999</v>
          </cell>
          <cell r="U87">
            <v>2359</v>
          </cell>
          <cell r="V87">
            <v>167349.91</v>
          </cell>
          <cell r="W87">
            <v>54504.34</v>
          </cell>
          <cell r="X87">
            <v>0.89880109261186203</v>
          </cell>
          <cell r="Y87">
            <v>0.87070712799167505</v>
          </cell>
        </row>
        <row r="88">
          <cell r="A88">
            <v>754</v>
          </cell>
          <cell r="B88" t="str">
            <v>尚贤坊街药店</v>
          </cell>
          <cell r="C88" t="str">
            <v>城郊二片</v>
          </cell>
          <cell r="D88">
            <v>30</v>
          </cell>
          <cell r="E88">
            <v>0</v>
          </cell>
          <cell r="F88">
            <v>0</v>
          </cell>
          <cell r="G88">
            <v>0</v>
          </cell>
          <cell r="H88">
            <v>187857.44</v>
          </cell>
          <cell r="I88">
            <v>7514.2975999999999</v>
          </cell>
          <cell r="J88">
            <v>4800</v>
          </cell>
          <cell r="K88">
            <v>6000</v>
          </cell>
          <cell r="L88">
            <v>186000</v>
          </cell>
          <cell r="M88">
            <v>3013.6098509397302</v>
          </cell>
          <cell r="N88">
            <v>58776</v>
          </cell>
          <cell r="O88">
            <v>0.13600000000000001</v>
          </cell>
          <cell r="P88" t="str">
            <v>31.6%</v>
          </cell>
          <cell r="Q88">
            <v>61.72</v>
          </cell>
          <cell r="R88">
            <v>1</v>
          </cell>
          <cell r="S88">
            <v>193440</v>
          </cell>
          <cell r="T88">
            <v>61127.040000000001</v>
          </cell>
          <cell r="U88">
            <v>3168</v>
          </cell>
          <cell r="V88">
            <v>234545.78</v>
          </cell>
          <cell r="W88">
            <v>69945.23</v>
          </cell>
          <cell r="X88">
            <v>1.05123096774193</v>
          </cell>
          <cell r="Y88">
            <v>1.2609988172043001</v>
          </cell>
        </row>
        <row r="89">
          <cell r="A89">
            <v>367</v>
          </cell>
          <cell r="B89" t="str">
            <v>金带街药店</v>
          </cell>
          <cell r="C89" t="str">
            <v>城郊二片</v>
          </cell>
          <cell r="D89">
            <v>30</v>
          </cell>
          <cell r="E89">
            <v>173006.41</v>
          </cell>
          <cell r="F89">
            <v>5767</v>
          </cell>
          <cell r="G89">
            <v>6920.4</v>
          </cell>
          <cell r="H89">
            <v>136909.35</v>
          </cell>
          <cell r="I89">
            <v>5476.3739999999998</v>
          </cell>
          <cell r="J89">
            <v>6300</v>
          </cell>
          <cell r="K89">
            <v>6000</v>
          </cell>
          <cell r="L89">
            <v>186000</v>
          </cell>
          <cell r="M89">
            <v>3140.8308004052701</v>
          </cell>
          <cell r="N89">
            <v>57697.2</v>
          </cell>
          <cell r="O89">
            <v>-9.1999999999999998E-2</v>
          </cell>
          <cell r="P89" t="str">
            <v>31.02%</v>
          </cell>
          <cell r="Q89">
            <v>59.22</v>
          </cell>
          <cell r="R89">
            <v>1</v>
          </cell>
          <cell r="S89">
            <v>193440</v>
          </cell>
          <cell r="T89">
            <v>60005.088000000003</v>
          </cell>
          <cell r="U89">
            <v>2727</v>
          </cell>
          <cell r="V89">
            <v>155543.75</v>
          </cell>
          <cell r="W89">
            <v>44941.04</v>
          </cell>
          <cell r="X89">
            <v>0.86824161290322499</v>
          </cell>
          <cell r="Y89">
            <v>0.83625672043010801</v>
          </cell>
        </row>
        <row r="90">
          <cell r="A90">
            <v>704</v>
          </cell>
          <cell r="B90" t="str">
            <v>奎光路中段药店</v>
          </cell>
          <cell r="C90" t="str">
            <v>城郊二片</v>
          </cell>
          <cell r="D90">
            <v>30</v>
          </cell>
          <cell r="E90">
            <v>144824.35</v>
          </cell>
          <cell r="F90">
            <v>4827</v>
          </cell>
          <cell r="G90">
            <v>5792.4</v>
          </cell>
          <cell r="H90">
            <v>126795.06</v>
          </cell>
          <cell r="I90">
            <v>5071.8023999999996</v>
          </cell>
          <cell r="J90">
            <v>5300</v>
          </cell>
          <cell r="K90">
            <v>5300</v>
          </cell>
          <cell r="L90">
            <v>164300</v>
          </cell>
          <cell r="M90">
            <v>1872.15132178669</v>
          </cell>
          <cell r="N90">
            <v>49914.34</v>
          </cell>
          <cell r="O90">
            <v>-0.04</v>
          </cell>
          <cell r="P90" t="str">
            <v>30.38%</v>
          </cell>
          <cell r="Q90">
            <v>87.76</v>
          </cell>
          <cell r="R90">
            <v>1</v>
          </cell>
          <cell r="S90">
            <v>170872</v>
          </cell>
          <cell r="T90">
            <v>51910.9136</v>
          </cell>
          <cell r="U90">
            <v>2078</v>
          </cell>
          <cell r="V90">
            <v>166896.74</v>
          </cell>
          <cell r="W90">
            <v>49012.69</v>
          </cell>
          <cell r="X90">
            <v>1.1099530127815</v>
          </cell>
          <cell r="Y90">
            <v>1.01580486914181</v>
          </cell>
        </row>
        <row r="91">
          <cell r="A91">
            <v>351</v>
          </cell>
          <cell r="B91" t="str">
            <v>都江堰药店</v>
          </cell>
          <cell r="C91" t="str">
            <v>城郊二片</v>
          </cell>
          <cell r="D91">
            <v>30</v>
          </cell>
          <cell r="E91">
            <v>149687.43</v>
          </cell>
          <cell r="F91">
            <v>4990</v>
          </cell>
          <cell r="G91">
            <v>5988</v>
          </cell>
          <cell r="H91">
            <v>99676.31</v>
          </cell>
          <cell r="I91">
            <v>3987.0524</v>
          </cell>
          <cell r="J91">
            <v>5500</v>
          </cell>
          <cell r="K91">
            <v>4500</v>
          </cell>
          <cell r="L91">
            <v>139500</v>
          </cell>
          <cell r="M91">
            <v>1657.3601045503101</v>
          </cell>
          <cell r="N91">
            <v>45239.85</v>
          </cell>
          <cell r="O91">
            <v>-0.27111111111111103</v>
          </cell>
          <cell r="P91" t="str">
            <v>32.43%</v>
          </cell>
          <cell r="Q91">
            <v>84.17</v>
          </cell>
          <cell r="R91">
            <v>1</v>
          </cell>
          <cell r="S91">
            <v>145080</v>
          </cell>
          <cell r="T91">
            <v>47049.444000000003</v>
          </cell>
          <cell r="U91">
            <v>1600</v>
          </cell>
          <cell r="V91">
            <v>121467.26</v>
          </cell>
          <cell r="W91">
            <v>40172.61</v>
          </cell>
          <cell r="X91">
            <v>0.96539068100358705</v>
          </cell>
          <cell r="Y91">
            <v>0.87073304659498196</v>
          </cell>
        </row>
        <row r="92">
          <cell r="A92">
            <v>101453</v>
          </cell>
          <cell r="B92" t="str">
            <v>江安路药店</v>
          </cell>
          <cell r="C92" t="str">
            <v>城郊二片</v>
          </cell>
          <cell r="D92">
            <v>30</v>
          </cell>
          <cell r="E92">
            <v>0</v>
          </cell>
          <cell r="F92">
            <v>0</v>
          </cell>
          <cell r="G92">
            <v>0</v>
          </cell>
          <cell r="H92">
            <v>95734.02</v>
          </cell>
          <cell r="I92">
            <v>3829.3607999999999</v>
          </cell>
          <cell r="J92">
            <v>2400</v>
          </cell>
          <cell r="K92">
            <v>4000</v>
          </cell>
          <cell r="L92">
            <v>124000</v>
          </cell>
          <cell r="M92">
            <v>1893.9972506491499</v>
          </cell>
          <cell r="N92">
            <v>43511.6</v>
          </cell>
          <cell r="O92">
            <v>0.36399999999999999</v>
          </cell>
          <cell r="P92" t="str">
            <v>35.09%</v>
          </cell>
          <cell r="Q92">
            <v>65.47</v>
          </cell>
          <cell r="R92">
            <v>1</v>
          </cell>
          <cell r="S92">
            <v>131440</v>
          </cell>
          <cell r="T92">
            <v>46122.296000000002</v>
          </cell>
          <cell r="U92">
            <v>2495</v>
          </cell>
          <cell r="V92">
            <v>148874.68</v>
          </cell>
          <cell r="W92">
            <v>45496.84</v>
          </cell>
          <cell r="X92">
            <v>1.31731975806452</v>
          </cell>
          <cell r="Y92">
            <v>1.2006022580645199</v>
          </cell>
        </row>
        <row r="93">
          <cell r="A93">
            <v>738</v>
          </cell>
          <cell r="B93" t="str">
            <v>都江堰市蒲阳路药店</v>
          </cell>
          <cell r="C93" t="str">
            <v>城郊二片</v>
          </cell>
          <cell r="D93">
            <v>30</v>
          </cell>
          <cell r="E93">
            <v>97410.26</v>
          </cell>
          <cell r="F93">
            <v>3247</v>
          </cell>
          <cell r="G93">
            <v>3896.4</v>
          </cell>
          <cell r="H93">
            <v>89318.23</v>
          </cell>
          <cell r="I93">
            <v>3572.7292000000002</v>
          </cell>
          <cell r="J93">
            <v>4200</v>
          </cell>
          <cell r="K93">
            <v>3800</v>
          </cell>
          <cell r="L93">
            <v>117800</v>
          </cell>
          <cell r="M93">
            <v>1311.2199465716801</v>
          </cell>
          <cell r="N93">
            <v>36105.699999999997</v>
          </cell>
          <cell r="O93">
            <v>-0.14947368421052601</v>
          </cell>
          <cell r="P93" t="str">
            <v>30.65%</v>
          </cell>
          <cell r="Q93">
            <v>89.84</v>
          </cell>
          <cell r="R93">
            <v>1</v>
          </cell>
          <cell r="S93">
            <v>124868</v>
          </cell>
          <cell r="T93">
            <v>38272.042000000001</v>
          </cell>
          <cell r="U93">
            <v>1706</v>
          </cell>
          <cell r="V93">
            <v>110763.74</v>
          </cell>
          <cell r="W93">
            <v>35546.300000000003</v>
          </cell>
          <cell r="X93">
            <v>1.30107843803056</v>
          </cell>
          <cell r="Y93">
            <v>0.94026943972835297</v>
          </cell>
        </row>
        <row r="94">
          <cell r="A94">
            <v>56</v>
          </cell>
          <cell r="B94" t="str">
            <v>三江店</v>
          </cell>
          <cell r="C94" t="str">
            <v>城郊二片</v>
          </cell>
          <cell r="D94">
            <v>30</v>
          </cell>
          <cell r="E94">
            <v>119762.82</v>
          </cell>
          <cell r="F94">
            <v>3992</v>
          </cell>
          <cell r="G94">
            <v>4790.3999999999996</v>
          </cell>
          <cell r="H94">
            <v>80761.84</v>
          </cell>
          <cell r="I94">
            <v>3230.4735999999998</v>
          </cell>
          <cell r="J94">
            <v>4300</v>
          </cell>
          <cell r="K94">
            <v>4300</v>
          </cell>
          <cell r="L94">
            <v>133300</v>
          </cell>
          <cell r="M94">
            <v>1940.88526499709</v>
          </cell>
          <cell r="N94">
            <v>42855.95</v>
          </cell>
          <cell r="O94">
            <v>-0.04</v>
          </cell>
          <cell r="P94" t="str">
            <v>32.15%</v>
          </cell>
          <cell r="Q94">
            <v>68.680000000000007</v>
          </cell>
          <cell r="R94">
            <v>1</v>
          </cell>
          <cell r="S94">
            <v>138632</v>
          </cell>
          <cell r="T94">
            <v>44570.188000000002</v>
          </cell>
          <cell r="U94">
            <v>1589</v>
          </cell>
          <cell r="V94">
            <v>106545.23</v>
          </cell>
          <cell r="W94">
            <v>33628</v>
          </cell>
          <cell r="X94">
            <v>0.81869857464366003</v>
          </cell>
          <cell r="Y94">
            <v>0.79928904726181504</v>
          </cell>
        </row>
        <row r="95">
          <cell r="A95">
            <v>710</v>
          </cell>
          <cell r="B95" t="str">
            <v>问道西路药店</v>
          </cell>
          <cell r="C95" t="str">
            <v>城郊二片</v>
          </cell>
          <cell r="D95">
            <v>30</v>
          </cell>
          <cell r="E95">
            <v>85677.759999999995</v>
          </cell>
          <cell r="F95">
            <v>2856</v>
          </cell>
          <cell r="G95">
            <v>3427.2</v>
          </cell>
          <cell r="H95">
            <v>76254.13</v>
          </cell>
          <cell r="I95">
            <v>3050.1651999999999</v>
          </cell>
          <cell r="J95">
            <v>3200</v>
          </cell>
          <cell r="K95">
            <v>3200</v>
          </cell>
          <cell r="L95">
            <v>99200</v>
          </cell>
          <cell r="M95">
            <v>1441.44144144144</v>
          </cell>
          <cell r="N95">
            <v>32081.279999999999</v>
          </cell>
          <cell r="O95">
            <v>-0.06</v>
          </cell>
          <cell r="P95" t="str">
            <v>32.34%</v>
          </cell>
          <cell r="Q95">
            <v>68.819999999999993</v>
          </cell>
          <cell r="R95">
            <v>1</v>
          </cell>
          <cell r="S95">
            <v>105152</v>
          </cell>
          <cell r="T95">
            <v>34006.156799999997</v>
          </cell>
          <cell r="U95">
            <v>1696</v>
          </cell>
          <cell r="V95">
            <v>92891.18</v>
          </cell>
          <cell r="W95">
            <v>30296.400000000001</v>
          </cell>
          <cell r="X95">
            <v>1.1766000000000001</v>
          </cell>
          <cell r="Y95">
            <v>0.93640302419354804</v>
          </cell>
        </row>
        <row r="96">
          <cell r="A96">
            <v>706</v>
          </cell>
          <cell r="B96" t="str">
            <v>翔凤路药店</v>
          </cell>
          <cell r="C96" t="str">
            <v>城郊二片</v>
          </cell>
          <cell r="D96">
            <v>30</v>
          </cell>
          <cell r="E96">
            <v>88927.67</v>
          </cell>
          <cell r="F96">
            <v>2964</v>
          </cell>
          <cell r="G96">
            <v>3556.8</v>
          </cell>
          <cell r="H96">
            <v>72479.429999999993</v>
          </cell>
          <cell r="I96">
            <v>2899.1772000000001</v>
          </cell>
          <cell r="J96">
            <v>3400</v>
          </cell>
          <cell r="K96">
            <v>3200</v>
          </cell>
          <cell r="L96">
            <v>99200</v>
          </cell>
          <cell r="M96">
            <v>1480.1551775589401</v>
          </cell>
          <cell r="N96">
            <v>32954.239999999998</v>
          </cell>
          <cell r="O96">
            <v>-0.12625</v>
          </cell>
          <cell r="P96" t="str">
            <v>33.22%</v>
          </cell>
          <cell r="Q96">
            <v>67.02</v>
          </cell>
          <cell r="R96">
            <v>1</v>
          </cell>
          <cell r="S96">
            <v>105152</v>
          </cell>
          <cell r="T96">
            <v>34931.494400000003</v>
          </cell>
          <cell r="U96">
            <v>1517</v>
          </cell>
          <cell r="V96">
            <v>90212.57</v>
          </cell>
          <cell r="W96">
            <v>26753.57</v>
          </cell>
          <cell r="X96">
            <v>1.0248925403225799</v>
          </cell>
          <cell r="Y96">
            <v>0.90940090725806499</v>
          </cell>
        </row>
        <row r="97">
          <cell r="A97">
            <v>713</v>
          </cell>
          <cell r="B97" t="str">
            <v>都江堰聚源镇药店</v>
          </cell>
          <cell r="C97" t="str">
            <v>城郊二片</v>
          </cell>
          <cell r="D97">
            <v>30</v>
          </cell>
          <cell r="E97">
            <v>59078.400000000001</v>
          </cell>
          <cell r="F97">
            <v>1969</v>
          </cell>
          <cell r="G97">
            <v>2362.8000000000002</v>
          </cell>
          <cell r="H97">
            <v>56196.36</v>
          </cell>
          <cell r="I97">
            <v>2247.8544000000002</v>
          </cell>
          <cell r="J97">
            <v>3000</v>
          </cell>
          <cell r="K97">
            <v>3000</v>
          </cell>
          <cell r="L97">
            <v>93000</v>
          </cell>
          <cell r="M97">
            <v>1212.35823230348</v>
          </cell>
          <cell r="N97">
            <v>32038.5</v>
          </cell>
          <cell r="O97">
            <v>-0.06</v>
          </cell>
          <cell r="P97" t="str">
            <v>34.45%</v>
          </cell>
          <cell r="Q97">
            <v>76.709999999999994</v>
          </cell>
          <cell r="R97">
            <v>1</v>
          </cell>
          <cell r="S97">
            <v>98580</v>
          </cell>
          <cell r="T97">
            <v>33960.81</v>
          </cell>
          <cell r="U97">
            <v>906</v>
          </cell>
          <cell r="V97">
            <v>62595.97</v>
          </cell>
          <cell r="W97">
            <v>20894.689999999999</v>
          </cell>
          <cell r="X97">
            <v>0.74730387096774198</v>
          </cell>
          <cell r="Y97">
            <v>0.67307494623655895</v>
          </cell>
        </row>
        <row r="98">
          <cell r="A98">
            <v>755</v>
          </cell>
          <cell r="B98" t="str">
            <v>鱼凫路药店</v>
          </cell>
          <cell r="C98" t="str">
            <v>城郊二片</v>
          </cell>
          <cell r="D98">
            <v>30</v>
          </cell>
          <cell r="E98">
            <v>0</v>
          </cell>
          <cell r="F98">
            <v>0</v>
          </cell>
          <cell r="G98">
            <v>0</v>
          </cell>
          <cell r="H98">
            <v>36024.370000000003</v>
          </cell>
          <cell r="I98">
            <v>1440.9748</v>
          </cell>
          <cell r="J98">
            <v>2500</v>
          </cell>
          <cell r="K98">
            <v>2000</v>
          </cell>
          <cell r="L98">
            <v>62000</v>
          </cell>
          <cell r="M98">
            <v>1113.90585698886</v>
          </cell>
          <cell r="N98">
            <v>19995</v>
          </cell>
          <cell r="O98">
            <v>-0.32500000000000001</v>
          </cell>
          <cell r="P98" t="str">
            <v>32.25%</v>
          </cell>
          <cell r="Q98">
            <v>55.66</v>
          </cell>
          <cell r="R98">
            <v>1</v>
          </cell>
          <cell r="S98">
            <v>65720</v>
          </cell>
          <cell r="T98">
            <v>21194.7</v>
          </cell>
          <cell r="U98">
            <v>945</v>
          </cell>
          <cell r="V98">
            <v>45002.71</v>
          </cell>
          <cell r="W98">
            <v>14314.12</v>
          </cell>
          <cell r="X98">
            <v>0.84836612903225905</v>
          </cell>
          <cell r="Y98">
            <v>0.72585016129032298</v>
          </cell>
        </row>
        <row r="99">
          <cell r="B99" t="str">
            <v>共计</v>
          </cell>
          <cell r="S99">
            <v>22447809</v>
          </cell>
          <cell r="T99">
            <v>6971817.6727</v>
          </cell>
          <cell r="U99">
            <v>284004</v>
          </cell>
          <cell r="V99">
            <v>20458431.489999998</v>
          </cell>
          <cell r="W99">
            <v>6238533.1100000003</v>
          </cell>
        </row>
        <row r="101">
          <cell r="A101" t="str">
            <v>总经理：                                                                            营运部：                                                                    制表：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零售明细"/>
      <sheetName val="Sheet1"/>
      <sheetName val="天胶提成（天胶为7.26-8.31日销售合计）"/>
    </sheetNames>
    <sheetDataSet>
      <sheetData sheetId="0"/>
      <sheetData sheetId="1">
        <row r="1">
          <cell r="I1" t="str">
            <v>门店ID</v>
          </cell>
          <cell r="J1" t="str">
            <v>求和项:销售数量</v>
          </cell>
          <cell r="K1" t="str">
            <v>求和项:提成计数</v>
          </cell>
          <cell r="L1" t="str">
            <v>求和项:内购</v>
          </cell>
          <cell r="M1" t="str">
            <v>求和项:1399两盒计数</v>
          </cell>
          <cell r="N1" t="str">
            <v>求和项:二赠一计数</v>
          </cell>
        </row>
        <row r="2">
          <cell r="I2">
            <v>52</v>
          </cell>
          <cell r="J2">
            <v>1</v>
          </cell>
          <cell r="K2">
            <v>1</v>
          </cell>
        </row>
        <row r="3">
          <cell r="I3">
            <v>54</v>
          </cell>
          <cell r="J3">
            <v>1</v>
          </cell>
          <cell r="K3">
            <v>1</v>
          </cell>
        </row>
        <row r="4">
          <cell r="I4">
            <v>307</v>
          </cell>
          <cell r="J4">
            <v>33.08</v>
          </cell>
          <cell r="K4">
            <v>12.08</v>
          </cell>
          <cell r="M4">
            <v>6</v>
          </cell>
          <cell r="N4">
            <v>10</v>
          </cell>
        </row>
        <row r="5">
          <cell r="I5">
            <v>308</v>
          </cell>
          <cell r="J5">
            <v>3</v>
          </cell>
          <cell r="K5">
            <v>1</v>
          </cell>
          <cell r="M5">
            <v>2</v>
          </cell>
        </row>
        <row r="6">
          <cell r="I6">
            <v>337</v>
          </cell>
          <cell r="J6">
            <v>7</v>
          </cell>
          <cell r="K6">
            <v>2</v>
          </cell>
          <cell r="M6">
            <v>2</v>
          </cell>
          <cell r="N6">
            <v>2</v>
          </cell>
        </row>
        <row r="7">
          <cell r="I7">
            <v>339</v>
          </cell>
          <cell r="J7">
            <v>2</v>
          </cell>
          <cell r="M7">
            <v>2</v>
          </cell>
        </row>
        <row r="8">
          <cell r="I8">
            <v>341</v>
          </cell>
          <cell r="J8">
            <v>7.5359999999999996</v>
          </cell>
          <cell r="K8">
            <v>3.536</v>
          </cell>
          <cell r="M8">
            <v>4</v>
          </cell>
        </row>
        <row r="9">
          <cell r="I9">
            <v>343</v>
          </cell>
          <cell r="J9">
            <v>5.6079999999999997</v>
          </cell>
          <cell r="K9">
            <v>2.6080000000000001</v>
          </cell>
          <cell r="N9">
            <v>2</v>
          </cell>
        </row>
        <row r="10">
          <cell r="I10">
            <v>349</v>
          </cell>
          <cell r="J10">
            <v>6</v>
          </cell>
          <cell r="N10">
            <v>4</v>
          </cell>
        </row>
        <row r="11">
          <cell r="I11">
            <v>355</v>
          </cell>
          <cell r="J11">
            <v>4</v>
          </cell>
          <cell r="K11">
            <v>2</v>
          </cell>
          <cell r="M11">
            <v>2</v>
          </cell>
        </row>
        <row r="12">
          <cell r="I12">
            <v>365</v>
          </cell>
          <cell r="J12">
            <v>6</v>
          </cell>
          <cell r="M12">
            <v>6</v>
          </cell>
        </row>
        <row r="13">
          <cell r="I13">
            <v>367</v>
          </cell>
          <cell r="J13">
            <v>2</v>
          </cell>
          <cell r="M13">
            <v>2</v>
          </cell>
        </row>
        <row r="14">
          <cell r="I14">
            <v>377</v>
          </cell>
          <cell r="J14">
            <v>5</v>
          </cell>
          <cell r="K14">
            <v>1</v>
          </cell>
          <cell r="M14">
            <v>4</v>
          </cell>
        </row>
        <row r="15">
          <cell r="I15">
            <v>379</v>
          </cell>
          <cell r="J15">
            <v>3</v>
          </cell>
          <cell r="K15">
            <v>1</v>
          </cell>
          <cell r="M15">
            <v>2</v>
          </cell>
        </row>
        <row r="16">
          <cell r="I16">
            <v>385</v>
          </cell>
          <cell r="J16">
            <v>-1</v>
          </cell>
          <cell r="N16">
            <v>-1</v>
          </cell>
        </row>
        <row r="17">
          <cell r="I17">
            <v>387</v>
          </cell>
          <cell r="J17">
            <v>10</v>
          </cell>
          <cell r="K17">
            <v>3</v>
          </cell>
          <cell r="M17">
            <v>6</v>
          </cell>
          <cell r="N17">
            <v>0.66</v>
          </cell>
        </row>
        <row r="18">
          <cell r="I18">
            <v>399</v>
          </cell>
          <cell r="J18">
            <v>2</v>
          </cell>
          <cell r="M18">
            <v>2</v>
          </cell>
        </row>
        <row r="19">
          <cell r="I19">
            <v>513</v>
          </cell>
          <cell r="J19">
            <v>5</v>
          </cell>
          <cell r="K19">
            <v>1</v>
          </cell>
          <cell r="M19">
            <v>4</v>
          </cell>
        </row>
        <row r="20">
          <cell r="I20">
            <v>514</v>
          </cell>
          <cell r="J20">
            <v>2</v>
          </cell>
          <cell r="M20">
            <v>2</v>
          </cell>
        </row>
        <row r="21">
          <cell r="I21">
            <v>515</v>
          </cell>
          <cell r="J21">
            <v>0</v>
          </cell>
          <cell r="K21">
            <v>0</v>
          </cell>
        </row>
        <row r="22">
          <cell r="I22">
            <v>517</v>
          </cell>
          <cell r="J22">
            <v>4</v>
          </cell>
          <cell r="M22">
            <v>4</v>
          </cell>
        </row>
        <row r="23">
          <cell r="I23">
            <v>539</v>
          </cell>
          <cell r="J23">
            <v>1</v>
          </cell>
          <cell r="K23">
            <v>1</v>
          </cell>
        </row>
        <row r="24">
          <cell r="I24">
            <v>541</v>
          </cell>
          <cell r="J24">
            <v>3</v>
          </cell>
          <cell r="N24">
            <v>2</v>
          </cell>
        </row>
        <row r="25">
          <cell r="I25">
            <v>545</v>
          </cell>
          <cell r="J25">
            <v>4</v>
          </cell>
          <cell r="M25">
            <v>4</v>
          </cell>
        </row>
        <row r="26">
          <cell r="I26">
            <v>546</v>
          </cell>
          <cell r="J26">
            <v>2</v>
          </cell>
          <cell r="M26">
            <v>2</v>
          </cell>
        </row>
        <row r="27">
          <cell r="I27">
            <v>571</v>
          </cell>
          <cell r="J27">
            <v>12</v>
          </cell>
          <cell r="M27">
            <v>12</v>
          </cell>
        </row>
        <row r="28">
          <cell r="I28">
            <v>572</v>
          </cell>
          <cell r="J28">
            <v>4</v>
          </cell>
          <cell r="M28">
            <v>4</v>
          </cell>
        </row>
        <row r="29">
          <cell r="I29">
            <v>578</v>
          </cell>
          <cell r="J29">
            <v>2</v>
          </cell>
          <cell r="N29">
            <v>1.32</v>
          </cell>
        </row>
        <row r="30">
          <cell r="I30">
            <v>581</v>
          </cell>
          <cell r="J30">
            <v>2</v>
          </cell>
          <cell r="M30">
            <v>2</v>
          </cell>
        </row>
        <row r="31">
          <cell r="I31">
            <v>582</v>
          </cell>
          <cell r="J31">
            <v>3.4339</v>
          </cell>
          <cell r="K31">
            <v>0.43390000000000001</v>
          </cell>
          <cell r="N31">
            <v>2</v>
          </cell>
        </row>
        <row r="32">
          <cell r="I32">
            <v>584</v>
          </cell>
          <cell r="J32">
            <v>6</v>
          </cell>
          <cell r="M32">
            <v>6</v>
          </cell>
        </row>
        <row r="33">
          <cell r="I33">
            <v>585</v>
          </cell>
          <cell r="J33">
            <v>1</v>
          </cell>
          <cell r="K33">
            <v>1</v>
          </cell>
        </row>
        <row r="34">
          <cell r="I34">
            <v>709</v>
          </cell>
          <cell r="J34">
            <v>2</v>
          </cell>
          <cell r="K34">
            <v>2</v>
          </cell>
        </row>
        <row r="35">
          <cell r="I35">
            <v>712</v>
          </cell>
          <cell r="J35">
            <v>2</v>
          </cell>
          <cell r="M35">
            <v>2</v>
          </cell>
        </row>
        <row r="36">
          <cell r="I36">
            <v>713</v>
          </cell>
          <cell r="J36">
            <v>1</v>
          </cell>
          <cell r="K36">
            <v>1</v>
          </cell>
        </row>
        <row r="37">
          <cell r="I37">
            <v>726</v>
          </cell>
          <cell r="J37">
            <v>5</v>
          </cell>
          <cell r="K37">
            <v>1</v>
          </cell>
          <cell r="L37">
            <v>2</v>
          </cell>
          <cell r="M37">
            <v>2</v>
          </cell>
        </row>
        <row r="38">
          <cell r="I38">
            <v>730</v>
          </cell>
          <cell r="J38">
            <v>4</v>
          </cell>
          <cell r="M38">
            <v>4</v>
          </cell>
        </row>
        <row r="39">
          <cell r="I39">
            <v>737</v>
          </cell>
          <cell r="J39">
            <v>0</v>
          </cell>
          <cell r="K39">
            <v>0</v>
          </cell>
        </row>
        <row r="40">
          <cell r="I40">
            <v>738</v>
          </cell>
          <cell r="J40">
            <v>0</v>
          </cell>
          <cell r="K40">
            <v>0</v>
          </cell>
        </row>
        <row r="41">
          <cell r="I41">
            <v>740</v>
          </cell>
          <cell r="J41">
            <v>1</v>
          </cell>
          <cell r="K41">
            <v>1</v>
          </cell>
        </row>
        <row r="42">
          <cell r="I42">
            <v>742</v>
          </cell>
          <cell r="J42">
            <v>6</v>
          </cell>
          <cell r="M42">
            <v>6</v>
          </cell>
        </row>
        <row r="43">
          <cell r="I43">
            <v>746</v>
          </cell>
          <cell r="J43">
            <v>1</v>
          </cell>
          <cell r="K43">
            <v>1</v>
          </cell>
        </row>
        <row r="44">
          <cell r="I44">
            <v>747</v>
          </cell>
          <cell r="J44">
            <v>2</v>
          </cell>
          <cell r="K44">
            <v>2</v>
          </cell>
        </row>
        <row r="45">
          <cell r="I45">
            <v>750</v>
          </cell>
          <cell r="J45">
            <v>6</v>
          </cell>
          <cell r="M45">
            <v>6</v>
          </cell>
        </row>
        <row r="46">
          <cell r="I46">
            <v>753</v>
          </cell>
          <cell r="J46">
            <v>2</v>
          </cell>
          <cell r="M46">
            <v>2</v>
          </cell>
        </row>
        <row r="47">
          <cell r="I47">
            <v>754</v>
          </cell>
          <cell r="J47">
            <v>2</v>
          </cell>
          <cell r="M47">
            <v>2</v>
          </cell>
        </row>
        <row r="48">
          <cell r="I48">
            <v>102565</v>
          </cell>
          <cell r="J48">
            <v>0</v>
          </cell>
          <cell r="K48">
            <v>0</v>
          </cell>
        </row>
        <row r="49">
          <cell r="I49">
            <v>102934</v>
          </cell>
          <cell r="J49">
            <v>0.25</v>
          </cell>
          <cell r="K49">
            <v>0.25</v>
          </cell>
        </row>
        <row r="50">
          <cell r="I50">
            <v>103198</v>
          </cell>
          <cell r="J50">
            <v>2</v>
          </cell>
          <cell r="L50">
            <v>2</v>
          </cell>
        </row>
        <row r="51">
          <cell r="J51">
            <v>184.90790000000001</v>
          </cell>
          <cell r="K51">
            <v>41.907899999999998</v>
          </cell>
          <cell r="L51">
            <v>4</v>
          </cell>
          <cell r="M51">
            <v>104</v>
          </cell>
          <cell r="N51">
            <v>22.98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O105"/>
  <sheetViews>
    <sheetView workbookViewId="0">
      <pane xSplit="4" ySplit="2" topLeftCell="BV78" activePane="bottomRight" state="frozen"/>
      <selection pane="topRight"/>
      <selection pane="bottomLeft"/>
      <selection pane="bottomRight" activeCell="CH96" sqref="CH96"/>
    </sheetView>
  </sheetViews>
  <sheetFormatPr defaultColWidth="9" defaultRowHeight="12.95" customHeight="1"/>
  <cols>
    <col min="1" max="1" width="4.5" style="154" customWidth="1"/>
    <col min="2" max="2" width="9.125" style="3" customWidth="1"/>
    <col min="3" max="3" width="14.75" style="154" customWidth="1"/>
    <col min="4" max="4" width="7.625" style="154" customWidth="1"/>
    <col min="5" max="5" width="5.125" style="3" customWidth="1"/>
    <col min="6" max="7" width="5.375" style="3" customWidth="1"/>
    <col min="8" max="8" width="7.875" style="154" customWidth="1"/>
    <col min="9" max="17" width="7.875" style="3" customWidth="1"/>
    <col min="18" max="18" width="7.75" style="161" customWidth="1"/>
    <col min="19" max="19" width="6.375" style="3" customWidth="1"/>
    <col min="20" max="20" width="6.875" style="3" customWidth="1"/>
    <col min="21" max="21" width="6.625" style="3" customWidth="1"/>
    <col min="22" max="27" width="6.875" style="161" customWidth="1"/>
    <col min="28" max="28" width="6.75" style="3" customWidth="1"/>
    <col min="29" max="29" width="5.625" style="3" customWidth="1"/>
    <col min="30" max="30" width="6.25" style="3" customWidth="1"/>
    <col min="31" max="31" width="8.25" style="154" customWidth="1"/>
    <col min="32" max="40" width="9.625" style="154" customWidth="1"/>
    <col min="41" max="41" width="9" style="154"/>
    <col min="42" max="42" width="9.375" style="154"/>
    <col min="43" max="43" width="12.625" style="154"/>
    <col min="44" max="44" width="9" style="154"/>
    <col min="45" max="45" width="12.625" style="154"/>
    <col min="46" max="49" width="9.375" style="154"/>
    <col min="50" max="50" width="12.625" style="154"/>
    <col min="51" max="52" width="9.375" style="154"/>
    <col min="53" max="53" width="12.625" style="154"/>
    <col min="54" max="56" width="10.375" style="154"/>
    <col min="57" max="57" width="13.75" style="154"/>
    <col min="58" max="58" width="11.5" style="154"/>
    <col min="59" max="59" width="13.75" style="154"/>
    <col min="60" max="60" width="9.375" style="154"/>
    <col min="61" max="62" width="10.375" style="154"/>
    <col min="63" max="63" width="9.25" style="154"/>
    <col min="64" max="67" width="9.375" style="154"/>
    <col min="68" max="69" width="10.375" style="154"/>
    <col min="70" max="72" width="12.625" style="154"/>
    <col min="73" max="73" width="9.25" style="154"/>
    <col min="74" max="74" width="12.625" style="154"/>
    <col min="75" max="75" width="10.375" style="154"/>
    <col min="76" max="76" width="11.125" style="154"/>
    <col min="77" max="77" width="12" style="154"/>
    <col min="78" max="78" width="11.5" style="154"/>
    <col min="79" max="79" width="10.375" style="154"/>
    <col min="80" max="80" width="11.5" style="154"/>
    <col min="81" max="81" width="12.625" style="154"/>
    <col min="82" max="82" width="11.125" style="154" hidden="1" customWidth="1"/>
    <col min="83" max="83" width="11.625" style="154"/>
    <col min="84" max="84" width="9.25" style="154" hidden="1" customWidth="1"/>
    <col min="85" max="85" width="9.375" style="154"/>
    <col min="86" max="167" width="9" style="154"/>
    <col min="168" max="16384" width="9" style="4"/>
  </cols>
  <sheetData>
    <row r="1" spans="1:241" s="150" customFormat="1" ht="24.95" customHeight="1">
      <c r="A1" s="21"/>
      <c r="B1" s="21"/>
      <c r="C1" s="21"/>
      <c r="D1" s="21"/>
      <c r="E1" s="261" t="s">
        <v>0</v>
      </c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2" t="s">
        <v>1</v>
      </c>
      <c r="S1" s="262"/>
      <c r="T1" s="262"/>
      <c r="U1" s="262"/>
      <c r="V1" s="262"/>
      <c r="W1" s="262"/>
      <c r="X1" s="262"/>
      <c r="Y1" s="262"/>
      <c r="Z1" s="262"/>
      <c r="AA1" s="262"/>
      <c r="AB1" s="263" t="s">
        <v>2</v>
      </c>
      <c r="AC1" s="263"/>
      <c r="AD1" s="263"/>
      <c r="AE1" s="263"/>
      <c r="AF1" s="263"/>
      <c r="AG1" s="263"/>
      <c r="AH1" s="263"/>
      <c r="AI1" s="263"/>
      <c r="AJ1" s="263"/>
      <c r="AK1" s="263"/>
      <c r="AL1" s="263"/>
      <c r="AM1" s="263"/>
      <c r="AN1" s="263"/>
      <c r="AO1" s="264" t="s">
        <v>3</v>
      </c>
      <c r="AP1" s="264"/>
      <c r="AQ1" s="264"/>
      <c r="AR1" s="264"/>
      <c r="AS1" s="264"/>
      <c r="AT1" s="264"/>
      <c r="AU1" s="264"/>
      <c r="AV1" s="264"/>
      <c r="AW1" s="264"/>
      <c r="AX1" s="264"/>
      <c r="AY1" s="264"/>
      <c r="AZ1" s="264"/>
      <c r="BA1" s="265" t="s">
        <v>4</v>
      </c>
      <c r="BB1" s="265"/>
      <c r="BC1" s="265"/>
      <c r="BD1" s="265"/>
      <c r="BE1" s="265"/>
      <c r="BF1" s="265"/>
      <c r="BG1" s="265"/>
      <c r="BH1" s="264" t="s">
        <v>5</v>
      </c>
      <c r="BI1" s="264"/>
      <c r="BJ1" s="264"/>
      <c r="BK1" s="264"/>
      <c r="BL1" s="264"/>
      <c r="BM1" s="264"/>
      <c r="BN1" s="264"/>
      <c r="BO1" s="264"/>
      <c r="BP1" s="264"/>
      <c r="BQ1" s="264"/>
      <c r="BR1" s="266" t="s">
        <v>6</v>
      </c>
      <c r="BS1" s="266"/>
      <c r="BT1" s="266"/>
      <c r="BU1" s="266"/>
      <c r="BV1" s="266"/>
      <c r="BW1" s="266"/>
      <c r="BX1" s="266"/>
      <c r="BY1" s="266"/>
      <c r="BZ1" s="266"/>
      <c r="CA1" s="266"/>
      <c r="CB1" s="214"/>
      <c r="CC1" s="214"/>
      <c r="CD1" s="214"/>
      <c r="CE1" s="214"/>
      <c r="CF1" s="214"/>
      <c r="CG1" s="214"/>
    </row>
    <row r="2" spans="1:241" s="2" customFormat="1" ht="24.95" customHeight="1">
      <c r="A2" s="58" t="s">
        <v>7</v>
      </c>
      <c r="B2" s="58" t="s">
        <v>8</v>
      </c>
      <c r="C2" s="58" t="s">
        <v>9</v>
      </c>
      <c r="D2" s="58" t="s">
        <v>10</v>
      </c>
      <c r="E2" s="163" t="s">
        <v>11</v>
      </c>
      <c r="F2" s="163" t="s">
        <v>12</v>
      </c>
      <c r="G2" s="163" t="s">
        <v>13</v>
      </c>
      <c r="H2" s="163" t="s">
        <v>14</v>
      </c>
      <c r="I2" s="163" t="s">
        <v>15</v>
      </c>
      <c r="J2" s="163" t="s">
        <v>16</v>
      </c>
      <c r="K2" s="163" t="s">
        <v>17</v>
      </c>
      <c r="L2" s="183" t="s">
        <v>18</v>
      </c>
      <c r="M2" s="184" t="s">
        <v>19</v>
      </c>
      <c r="N2" s="184" t="s">
        <v>20</v>
      </c>
      <c r="O2" s="184" t="s">
        <v>21</v>
      </c>
      <c r="P2" s="184" t="s">
        <v>22</v>
      </c>
      <c r="Q2" s="184" t="s">
        <v>23</v>
      </c>
      <c r="R2" s="185" t="s">
        <v>11</v>
      </c>
      <c r="S2" s="185" t="s">
        <v>12</v>
      </c>
      <c r="T2" s="186" t="s">
        <v>13</v>
      </c>
      <c r="U2" s="185" t="s">
        <v>14</v>
      </c>
      <c r="V2" s="185" t="s">
        <v>15</v>
      </c>
      <c r="W2" s="185" t="s">
        <v>24</v>
      </c>
      <c r="X2" s="187" t="s">
        <v>20</v>
      </c>
      <c r="Y2" s="187" t="s">
        <v>21</v>
      </c>
      <c r="Z2" s="185" t="s">
        <v>22</v>
      </c>
      <c r="AA2" s="185" t="s">
        <v>23</v>
      </c>
      <c r="AB2" s="163" t="s">
        <v>11</v>
      </c>
      <c r="AC2" s="163" t="s">
        <v>12</v>
      </c>
      <c r="AD2" s="163" t="s">
        <v>13</v>
      </c>
      <c r="AE2" s="163" t="s">
        <v>14</v>
      </c>
      <c r="AF2" s="163" t="s">
        <v>15</v>
      </c>
      <c r="AG2" s="162" t="s">
        <v>25</v>
      </c>
      <c r="AH2" s="162" t="s">
        <v>26</v>
      </c>
      <c r="AI2" s="162" t="s">
        <v>27</v>
      </c>
      <c r="AJ2" s="162" t="s">
        <v>28</v>
      </c>
      <c r="AK2" s="162" t="s">
        <v>20</v>
      </c>
      <c r="AL2" s="162" t="s">
        <v>21</v>
      </c>
      <c r="AM2" s="162" t="s">
        <v>29</v>
      </c>
      <c r="AN2" s="162" t="s">
        <v>30</v>
      </c>
      <c r="AO2" s="208" t="s">
        <v>11</v>
      </c>
      <c r="AP2" s="208" t="s">
        <v>12</v>
      </c>
      <c r="AQ2" s="208" t="s">
        <v>13</v>
      </c>
      <c r="AR2" s="208" t="s">
        <v>14</v>
      </c>
      <c r="AS2" s="208" t="s">
        <v>15</v>
      </c>
      <c r="AT2" s="209" t="s">
        <v>31</v>
      </c>
      <c r="AU2" s="209" t="s">
        <v>32</v>
      </c>
      <c r="AV2" s="209" t="s">
        <v>33</v>
      </c>
      <c r="AW2" s="209" t="s">
        <v>20</v>
      </c>
      <c r="AX2" s="209" t="s">
        <v>21</v>
      </c>
      <c r="AY2" s="207" t="s">
        <v>29</v>
      </c>
      <c r="AZ2" s="207" t="s">
        <v>30</v>
      </c>
      <c r="BA2" s="211" t="s">
        <v>34</v>
      </c>
      <c r="BB2" s="211" t="s">
        <v>35</v>
      </c>
      <c r="BC2" s="211" t="s">
        <v>36</v>
      </c>
      <c r="BD2" s="211" t="s">
        <v>37</v>
      </c>
      <c r="BE2" s="211" t="s">
        <v>38</v>
      </c>
      <c r="BF2" s="211" t="s">
        <v>22</v>
      </c>
      <c r="BG2" s="211" t="s">
        <v>23</v>
      </c>
      <c r="BH2" s="208" t="s">
        <v>11</v>
      </c>
      <c r="BI2" s="208" t="s">
        <v>12</v>
      </c>
      <c r="BJ2" s="208" t="s">
        <v>13</v>
      </c>
      <c r="BK2" s="208" t="s">
        <v>14</v>
      </c>
      <c r="BL2" s="208" t="s">
        <v>15</v>
      </c>
      <c r="BM2" s="208" t="s">
        <v>24</v>
      </c>
      <c r="BN2" s="208" t="s">
        <v>20</v>
      </c>
      <c r="BO2" s="208" t="s">
        <v>21</v>
      </c>
      <c r="BP2" s="209" t="s">
        <v>29</v>
      </c>
      <c r="BQ2" s="209" t="s">
        <v>30</v>
      </c>
      <c r="BR2" s="213" t="s">
        <v>11</v>
      </c>
      <c r="BS2" s="213" t="s">
        <v>12</v>
      </c>
      <c r="BT2" s="213" t="s">
        <v>13</v>
      </c>
      <c r="BU2" s="213" t="s">
        <v>14</v>
      </c>
      <c r="BV2" s="213" t="s">
        <v>39</v>
      </c>
      <c r="BW2" s="212" t="s">
        <v>24</v>
      </c>
      <c r="BX2" s="215" t="s">
        <v>20</v>
      </c>
      <c r="BY2" s="215" t="s">
        <v>21</v>
      </c>
      <c r="BZ2" s="212" t="s">
        <v>29</v>
      </c>
      <c r="CA2" s="212" t="s">
        <v>30</v>
      </c>
      <c r="CB2" s="216" t="s">
        <v>40</v>
      </c>
      <c r="CC2" s="216" t="s">
        <v>41</v>
      </c>
      <c r="CD2" s="217" t="s">
        <v>42</v>
      </c>
      <c r="CE2" s="217" t="s">
        <v>42</v>
      </c>
      <c r="CF2" s="216" t="s">
        <v>43</v>
      </c>
      <c r="CG2" s="217" t="s">
        <v>43</v>
      </c>
      <c r="CH2" s="60"/>
      <c r="CI2" s="60"/>
      <c r="CJ2" s="60"/>
      <c r="CK2" s="60"/>
      <c r="CL2" s="60"/>
      <c r="CM2" s="60"/>
      <c r="CN2" s="60"/>
      <c r="CO2" s="60"/>
      <c r="CP2" s="60"/>
      <c r="CQ2" s="60"/>
      <c r="CR2" s="60"/>
      <c r="CS2" s="60"/>
      <c r="CT2" s="60"/>
      <c r="CU2" s="60"/>
      <c r="CV2" s="60"/>
      <c r="CW2" s="60"/>
      <c r="CX2" s="60"/>
      <c r="CY2" s="60"/>
      <c r="CZ2" s="60"/>
      <c r="DA2" s="60"/>
      <c r="DB2" s="60"/>
      <c r="DC2" s="60"/>
      <c r="DD2" s="60"/>
      <c r="DE2" s="60"/>
      <c r="DF2" s="60"/>
      <c r="DG2" s="60"/>
      <c r="DH2" s="60"/>
      <c r="DI2" s="60"/>
      <c r="DJ2" s="60"/>
      <c r="DK2" s="60"/>
      <c r="DL2" s="60"/>
      <c r="DM2" s="60"/>
      <c r="DN2" s="60"/>
      <c r="DO2" s="60"/>
      <c r="DP2" s="60"/>
      <c r="DQ2" s="60"/>
      <c r="DR2" s="60"/>
      <c r="DS2" s="60"/>
      <c r="DT2" s="60"/>
      <c r="DU2" s="60"/>
      <c r="DV2" s="60"/>
      <c r="DW2" s="60"/>
      <c r="DX2" s="60"/>
      <c r="DY2" s="60"/>
      <c r="DZ2" s="60"/>
      <c r="EA2" s="60"/>
      <c r="EB2" s="60"/>
      <c r="EC2" s="60"/>
      <c r="ED2" s="60"/>
      <c r="EE2" s="60"/>
      <c r="EF2" s="60"/>
      <c r="EG2" s="60"/>
      <c r="EH2" s="60"/>
      <c r="EI2" s="60"/>
      <c r="EJ2" s="60"/>
      <c r="EK2" s="60"/>
      <c r="EL2" s="60"/>
      <c r="EM2" s="60"/>
      <c r="EN2" s="60"/>
      <c r="EO2" s="60"/>
      <c r="EP2" s="60"/>
      <c r="EQ2" s="60"/>
      <c r="ER2" s="60"/>
      <c r="ES2" s="60"/>
      <c r="ET2" s="60"/>
      <c r="EU2" s="60"/>
      <c r="EV2" s="60"/>
      <c r="EW2" s="60"/>
      <c r="EX2" s="60"/>
      <c r="EY2" s="60"/>
      <c r="EZ2" s="60"/>
      <c r="FA2" s="60"/>
      <c r="FB2" s="60"/>
      <c r="FC2" s="60"/>
      <c r="FD2" s="60"/>
      <c r="FE2" s="60"/>
      <c r="FF2" s="60"/>
      <c r="FG2" s="60"/>
      <c r="FH2" s="60"/>
      <c r="FI2" s="60"/>
      <c r="FJ2" s="60"/>
      <c r="FK2" s="60"/>
      <c r="FL2" s="60"/>
      <c r="FM2" s="60"/>
      <c r="FN2" s="60"/>
      <c r="FO2" s="60"/>
      <c r="FP2" s="60"/>
      <c r="FQ2" s="60"/>
      <c r="FR2" s="60"/>
      <c r="FS2" s="60"/>
      <c r="FT2" s="60"/>
      <c r="FU2" s="60"/>
    </row>
    <row r="3" spans="1:241" s="151" customFormat="1" ht="12">
      <c r="A3" s="164">
        <v>1</v>
      </c>
      <c r="B3" s="164">
        <v>594</v>
      </c>
      <c r="C3" s="164" t="s">
        <v>44</v>
      </c>
      <c r="D3" s="164" t="s">
        <v>45</v>
      </c>
      <c r="E3" s="165">
        <v>1</v>
      </c>
      <c r="F3" s="165">
        <v>2</v>
      </c>
      <c r="G3" s="165">
        <v>3</v>
      </c>
      <c r="H3" s="165">
        <v>1</v>
      </c>
      <c r="I3" s="165">
        <v>1</v>
      </c>
      <c r="J3" s="165">
        <v>0</v>
      </c>
      <c r="K3" s="165">
        <v>0</v>
      </c>
      <c r="L3" s="165">
        <v>0</v>
      </c>
      <c r="M3" s="165">
        <v>0</v>
      </c>
      <c r="N3" s="165">
        <f>J3-E3</f>
        <v>-1</v>
      </c>
      <c r="O3" s="165">
        <f>J3-I3</f>
        <v>-1</v>
      </c>
      <c r="P3" s="165">
        <f t="shared" ref="P3:P8" si="0">K3*70+L3*15+M3*40</f>
        <v>0</v>
      </c>
      <c r="Q3" s="165">
        <f t="shared" ref="Q3:Q8" si="1">N3*15</f>
        <v>-15</v>
      </c>
      <c r="R3" s="188">
        <v>1770</v>
      </c>
      <c r="S3" s="189">
        <v>1947</v>
      </c>
      <c r="T3" s="189">
        <v>2124</v>
      </c>
      <c r="U3" s="189">
        <v>1</v>
      </c>
      <c r="V3" s="188">
        <v>1770</v>
      </c>
      <c r="W3" s="188">
        <f>VLOOKUP(B:B,[1]Sheet1!$F$1:$G$65536,2,0)</f>
        <v>3033.31</v>
      </c>
      <c r="X3" s="188">
        <f>W3-R3</f>
        <v>1263.31</v>
      </c>
      <c r="Y3" s="188">
        <f>W3-V3</f>
        <v>1263.31</v>
      </c>
      <c r="Z3" s="188">
        <f>W3*0.07</f>
        <v>212.33170000000001</v>
      </c>
      <c r="AA3" s="188"/>
      <c r="AB3" s="165">
        <v>49</v>
      </c>
      <c r="AC3" s="195">
        <v>54</v>
      </c>
      <c r="AD3" s="195">
        <v>59</v>
      </c>
      <c r="AE3" s="164">
        <v>1</v>
      </c>
      <c r="AF3" s="196">
        <v>49</v>
      </c>
      <c r="AG3" s="206">
        <f>VLOOKUP(B:B,[1]Sheet3!$G$1:$H$65536,2,0)</f>
        <v>18</v>
      </c>
      <c r="AH3" s="206">
        <f>VLOOKUP(B:B,[1]Sheet5!$E$1:$F$65536,2,0)</f>
        <v>3</v>
      </c>
      <c r="AI3" s="206">
        <f>VLOOKUP(B:B,[1]Sheet8!$G$1:$H$65536,2,0)</f>
        <v>9</v>
      </c>
      <c r="AJ3" s="206">
        <f>AG3+AH3+AI3</f>
        <v>30</v>
      </c>
      <c r="AK3" s="196">
        <f>AJ3-AB3</f>
        <v>-19</v>
      </c>
      <c r="AL3" s="196">
        <f>AJ3-AF3</f>
        <v>-19</v>
      </c>
      <c r="AM3" s="196"/>
      <c r="AN3" s="196">
        <f>AK3*1</f>
        <v>-19</v>
      </c>
      <c r="AO3" s="188">
        <v>269.10000000000002</v>
      </c>
      <c r="AP3" s="188">
        <v>296.01</v>
      </c>
      <c r="AQ3" s="188">
        <v>322.92</v>
      </c>
      <c r="AR3" s="188">
        <v>1</v>
      </c>
      <c r="AS3" s="188">
        <v>269.10000000000002</v>
      </c>
      <c r="AT3" s="188">
        <f>VLOOKUP(B:B,[1]Sheet10!$F$1:$G$65536,2,0)</f>
        <v>44.9</v>
      </c>
      <c r="AU3" s="188">
        <f>VLOOKUP(B:B,[1]Sheet12!$G$1:$H$65536,2,0)</f>
        <v>222</v>
      </c>
      <c r="AV3" s="188">
        <f>AT3+AU3</f>
        <v>266.89999999999998</v>
      </c>
      <c r="AW3" s="188">
        <f>AV3-AO3</f>
        <v>-2.2000000000000499</v>
      </c>
      <c r="AX3" s="188">
        <f>AV3-AS3</f>
        <v>-2.2000000000000499</v>
      </c>
      <c r="AY3" s="188"/>
      <c r="AZ3" s="188">
        <f>AW3*0.04</f>
        <v>-8.8000000000001799E-2</v>
      </c>
      <c r="BA3" s="188">
        <v>2261.2800000000002</v>
      </c>
      <c r="BB3" s="188">
        <f>VLOOKUP(B:B,[1]Sheet14!$G$1:$I$65536,3,0)</f>
        <v>2489.2399999999998</v>
      </c>
      <c r="BC3" s="188">
        <v>46.41</v>
      </c>
      <c r="BD3" s="188">
        <f>BB3+BC3</f>
        <v>2535.65</v>
      </c>
      <c r="BE3" s="188">
        <f>BD3-BA3</f>
        <v>274.36999999999898</v>
      </c>
      <c r="BF3" s="188">
        <f>BB3*0.1+BC3*0.03</f>
        <v>250.31630000000001</v>
      </c>
      <c r="BG3" s="210"/>
      <c r="BH3" s="188">
        <v>916.56</v>
      </c>
      <c r="BI3" s="188">
        <v>1008.216</v>
      </c>
      <c r="BJ3" s="188">
        <v>1099.8720000000001</v>
      </c>
      <c r="BK3" s="188">
        <v>1</v>
      </c>
      <c r="BL3" s="188">
        <v>916.56</v>
      </c>
      <c r="BM3" s="188">
        <f>VLOOKUP(B:B,[1]Sheet17!$E$1:$F$65536,2,0)</f>
        <v>736.79</v>
      </c>
      <c r="BN3" s="188">
        <f>BM3-BH3</f>
        <v>-179.77</v>
      </c>
      <c r="BO3" s="188">
        <f>BM3-BL3</f>
        <v>-179.77</v>
      </c>
      <c r="BP3" s="188">
        <f t="shared" ref="BP3:BP11" si="2">BM3*0.15</f>
        <v>110.5185</v>
      </c>
      <c r="BQ3" s="188">
        <f>BN3*0.05</f>
        <v>-8.9885000000000002</v>
      </c>
      <c r="BR3" s="188">
        <v>9298.7999999999993</v>
      </c>
      <c r="BS3" s="188">
        <v>10228.68</v>
      </c>
      <c r="BT3" s="188">
        <v>11158.56</v>
      </c>
      <c r="BU3" s="188">
        <v>2</v>
      </c>
      <c r="BV3" s="188">
        <v>10228.68</v>
      </c>
      <c r="BW3" s="188">
        <f>VLOOKUP(B:B,[2]Sheet1!$G$1:$H$65536,2,0)</f>
        <v>12407.9</v>
      </c>
      <c r="BX3" s="188">
        <f>BW3-BR3</f>
        <v>3109.1</v>
      </c>
      <c r="BY3" s="188">
        <f>BW3-BV3</f>
        <v>2179.2199999999998</v>
      </c>
      <c r="BZ3" s="188">
        <f>BW3*0.1</f>
        <v>1240.79</v>
      </c>
      <c r="CA3" s="191"/>
      <c r="CB3" s="188">
        <f>P3+Z3+AM3+AY3+BF3+BP3+BZ3</f>
        <v>1813.9565</v>
      </c>
      <c r="CC3" s="218">
        <f>VLOOKUP(B:B,[3]门店完成率!$A:$Y,25,0)</f>
        <v>0.81789937275985702</v>
      </c>
      <c r="CD3" s="188">
        <f>CB3*0.5+CB3*0.5*CC3</f>
        <v>1648.79519178183</v>
      </c>
      <c r="CE3" s="188">
        <f>ROUND(CD3,2)</f>
        <v>1648.8</v>
      </c>
      <c r="CF3" s="188">
        <f>Q3+AA3+AN3+AZ3+BG3+BQ3+CA3</f>
        <v>-43.076500000000003</v>
      </c>
      <c r="CG3" s="188">
        <f>ROUND(CF3,2)</f>
        <v>-43.08</v>
      </c>
      <c r="CH3" s="219"/>
      <c r="CI3" s="219"/>
      <c r="CJ3" s="219"/>
      <c r="CK3" s="219"/>
      <c r="CL3" s="219"/>
      <c r="CM3" s="219"/>
      <c r="CN3" s="219"/>
      <c r="CO3" s="219"/>
      <c r="CP3" s="219"/>
      <c r="CQ3" s="219"/>
      <c r="CR3" s="219"/>
      <c r="CS3" s="219"/>
      <c r="CT3" s="219"/>
      <c r="CU3" s="219"/>
      <c r="CV3" s="219"/>
      <c r="CW3" s="219"/>
      <c r="CX3" s="219"/>
      <c r="CY3" s="219"/>
      <c r="CZ3" s="219"/>
      <c r="DA3" s="219"/>
      <c r="DB3" s="219"/>
      <c r="DC3" s="219"/>
      <c r="DD3" s="219"/>
      <c r="DE3" s="219"/>
      <c r="DF3" s="219"/>
      <c r="DG3" s="219"/>
      <c r="DH3" s="219"/>
      <c r="DI3" s="219"/>
      <c r="DJ3" s="219"/>
      <c r="DK3" s="219"/>
      <c r="DL3" s="219"/>
      <c r="DM3" s="219"/>
      <c r="DN3" s="219"/>
      <c r="DO3" s="219"/>
      <c r="DP3" s="219"/>
      <c r="DQ3" s="219"/>
      <c r="DR3" s="219"/>
      <c r="DS3" s="219"/>
      <c r="DT3" s="219"/>
      <c r="DU3" s="219"/>
      <c r="DV3" s="219"/>
      <c r="DW3" s="219"/>
      <c r="DX3" s="219"/>
      <c r="DY3" s="219"/>
      <c r="DZ3" s="219"/>
      <c r="EA3" s="219"/>
      <c r="EB3" s="219"/>
      <c r="EC3" s="219"/>
      <c r="ED3" s="219"/>
      <c r="EE3" s="219"/>
      <c r="EF3" s="219"/>
      <c r="EG3" s="219"/>
      <c r="EH3" s="219"/>
      <c r="EI3" s="219"/>
      <c r="EJ3" s="219"/>
      <c r="EK3" s="219"/>
      <c r="EL3" s="219"/>
      <c r="EM3" s="219"/>
      <c r="EN3" s="219"/>
      <c r="EO3" s="219"/>
      <c r="EP3" s="219"/>
      <c r="EQ3" s="219"/>
      <c r="ER3" s="219"/>
      <c r="ES3" s="219"/>
      <c r="ET3" s="219"/>
      <c r="EU3" s="219"/>
      <c r="EV3" s="219"/>
      <c r="EW3" s="219"/>
      <c r="EX3" s="219"/>
      <c r="EY3" s="219"/>
      <c r="EZ3" s="219"/>
      <c r="FA3" s="219"/>
      <c r="FB3" s="219"/>
      <c r="FC3" s="219"/>
      <c r="FD3" s="219"/>
      <c r="FE3" s="219"/>
      <c r="FF3" s="219"/>
      <c r="FG3" s="219"/>
      <c r="FH3" s="219"/>
      <c r="FI3" s="219"/>
      <c r="FJ3" s="219"/>
      <c r="FK3" s="219"/>
      <c r="FL3" s="219"/>
      <c r="FM3" s="219"/>
      <c r="FN3" s="219"/>
      <c r="FO3" s="219"/>
      <c r="FP3" s="219"/>
      <c r="FQ3" s="219"/>
      <c r="FR3" s="219"/>
      <c r="FS3" s="219"/>
      <c r="FT3" s="219"/>
      <c r="FU3" s="219"/>
      <c r="FV3" s="219"/>
      <c r="FW3" s="219"/>
      <c r="FX3" s="219"/>
      <c r="FY3" s="219"/>
      <c r="FZ3" s="219"/>
      <c r="GA3" s="219"/>
      <c r="GB3" s="219"/>
      <c r="GC3" s="219"/>
      <c r="GD3" s="219"/>
      <c r="GE3" s="219"/>
      <c r="GF3" s="219"/>
      <c r="GG3" s="219"/>
      <c r="GH3" s="219"/>
      <c r="GI3" s="219"/>
      <c r="GJ3" s="219"/>
      <c r="GK3" s="219"/>
      <c r="GL3" s="219"/>
      <c r="GM3" s="219"/>
      <c r="GN3" s="219"/>
      <c r="GO3" s="219"/>
      <c r="GP3" s="219"/>
      <c r="GQ3" s="219"/>
      <c r="GR3" s="219"/>
      <c r="GS3" s="219"/>
      <c r="GT3" s="219"/>
      <c r="GU3" s="219"/>
      <c r="GV3" s="219"/>
      <c r="GW3" s="219"/>
      <c r="GX3" s="219"/>
      <c r="GY3" s="219"/>
      <c r="GZ3" s="219"/>
      <c r="HA3" s="219"/>
      <c r="HB3" s="219"/>
      <c r="HC3" s="219"/>
    </row>
    <row r="4" spans="1:241" s="152" customFormat="1" ht="12.95" customHeight="1">
      <c r="A4" s="164">
        <v>2</v>
      </c>
      <c r="B4" s="166">
        <v>549</v>
      </c>
      <c r="C4" s="166" t="s">
        <v>46</v>
      </c>
      <c r="D4" s="166" t="s">
        <v>45</v>
      </c>
      <c r="E4" s="165">
        <v>1</v>
      </c>
      <c r="F4" s="165">
        <v>2</v>
      </c>
      <c r="G4" s="165">
        <v>3</v>
      </c>
      <c r="H4" s="165">
        <v>1</v>
      </c>
      <c r="I4" s="165">
        <v>1</v>
      </c>
      <c r="J4" s="165">
        <v>0</v>
      </c>
      <c r="K4" s="165">
        <v>0</v>
      </c>
      <c r="L4" s="165">
        <v>0</v>
      </c>
      <c r="M4" s="165">
        <v>0</v>
      </c>
      <c r="N4" s="165">
        <f t="shared" ref="N4:N35" si="3">J4-E4</f>
        <v>-1</v>
      </c>
      <c r="O4" s="165">
        <f t="shared" ref="O4:O35" si="4">J4-I4</f>
        <v>-1</v>
      </c>
      <c r="P4" s="165">
        <f t="shared" si="0"/>
        <v>0</v>
      </c>
      <c r="Q4" s="165">
        <f t="shared" si="1"/>
        <v>-15</v>
      </c>
      <c r="R4" s="188">
        <v>1462</v>
      </c>
      <c r="S4" s="189">
        <v>1608.2</v>
      </c>
      <c r="T4" s="189">
        <v>1754.4</v>
      </c>
      <c r="U4" s="189">
        <v>2</v>
      </c>
      <c r="V4" s="188">
        <v>1608.2</v>
      </c>
      <c r="W4" s="188">
        <f>VLOOKUP(B:B,[1]Sheet1!$F$1:$G$65536,2,0)</f>
        <v>3054.96</v>
      </c>
      <c r="X4" s="188">
        <f t="shared" ref="X4:X35" si="5">W4-R4</f>
        <v>1592.96</v>
      </c>
      <c r="Y4" s="188">
        <f t="shared" ref="Y4:Y35" si="6">W4-V4</f>
        <v>1446.76</v>
      </c>
      <c r="Z4" s="188">
        <f>W4*0.09</f>
        <v>274.94639999999998</v>
      </c>
      <c r="AA4" s="188"/>
      <c r="AB4" s="165">
        <v>48</v>
      </c>
      <c r="AC4" s="195">
        <v>53</v>
      </c>
      <c r="AD4" s="195">
        <v>58</v>
      </c>
      <c r="AE4" s="164">
        <v>1</v>
      </c>
      <c r="AF4" s="196">
        <v>48</v>
      </c>
      <c r="AG4" s="206">
        <f>VLOOKUP(B:B,[1]Sheet3!$G$1:$H$65536,2,0)</f>
        <v>19</v>
      </c>
      <c r="AH4" s="206">
        <f>VLOOKUP(B:B,[1]Sheet5!$E$1:$F$65536,2,0)</f>
        <v>3</v>
      </c>
      <c r="AI4" s="206">
        <f>VLOOKUP(B:B,[1]Sheet8!$G$1:$H$65536,2,0)</f>
        <v>6</v>
      </c>
      <c r="AJ4" s="206">
        <f t="shared" ref="AJ4:AJ35" si="7">AG4+AH4+AI4</f>
        <v>28</v>
      </c>
      <c r="AK4" s="196">
        <f t="shared" ref="AK4:AK35" si="8">AJ4-AB4</f>
        <v>-20</v>
      </c>
      <c r="AL4" s="196">
        <f t="shared" ref="AL4:AL35" si="9">AJ4-AF4</f>
        <v>-20</v>
      </c>
      <c r="AM4" s="196"/>
      <c r="AN4" s="196">
        <f>AK4*1</f>
        <v>-20</v>
      </c>
      <c r="AO4" s="166">
        <v>266.39999999999998</v>
      </c>
      <c r="AP4" s="166">
        <v>293.04000000000002</v>
      </c>
      <c r="AQ4" s="166">
        <v>319.68</v>
      </c>
      <c r="AR4" s="166">
        <v>1</v>
      </c>
      <c r="AS4" s="166">
        <v>266.39999999999998</v>
      </c>
      <c r="AT4" s="188">
        <f>VLOOKUP(B:B,[1]Sheet10!$F$1:$G$65536,2,0)</f>
        <v>44.9</v>
      </c>
      <c r="AU4" s="188">
        <f>VLOOKUP(B:B,[1]Sheet12!$G$1:$H$65536,2,0)</f>
        <v>37</v>
      </c>
      <c r="AV4" s="188">
        <f t="shared" ref="AV4:AV35" si="10">AT4+AU4</f>
        <v>81.900000000000006</v>
      </c>
      <c r="AW4" s="188">
        <f t="shared" ref="AW4:AW35" si="11">AV4-AO4</f>
        <v>-184.5</v>
      </c>
      <c r="AX4" s="188">
        <f t="shared" ref="AX4:AX35" si="12">AV4-AS4</f>
        <v>-184.5</v>
      </c>
      <c r="AY4" s="166"/>
      <c r="AZ4" s="188">
        <f>AW4*0.04</f>
        <v>-7.38</v>
      </c>
      <c r="BA4" s="188">
        <f>VLOOKUP(B:B,[4]查询时间段分门店销售明细!$B$1:$X$65536,23,0)</f>
        <v>2623.2</v>
      </c>
      <c r="BB4" s="188">
        <f>VLOOKUP(B:B,[1]Sheet14!$G$1:$I$65536,3,0)</f>
        <v>4953.2</v>
      </c>
      <c r="BC4" s="188">
        <v>1.0900000000000001</v>
      </c>
      <c r="BD4" s="188">
        <f t="shared" ref="BD4:BD35" si="13">BB4+BC4</f>
        <v>4954.29</v>
      </c>
      <c r="BE4" s="188">
        <f t="shared" ref="BE4:BE35" si="14">BD4-BA4</f>
        <v>2331.09</v>
      </c>
      <c r="BF4" s="188">
        <f t="shared" ref="BF4:BF35" si="15">BB4*0.1+BC4*0.03</f>
        <v>495.35270000000003</v>
      </c>
      <c r="BG4" s="166"/>
      <c r="BH4" s="166">
        <v>992.88</v>
      </c>
      <c r="BI4" s="166">
        <v>1092.1679999999999</v>
      </c>
      <c r="BJ4" s="166">
        <v>1191.4559999999999</v>
      </c>
      <c r="BK4" s="166">
        <v>1</v>
      </c>
      <c r="BL4" s="166">
        <v>992.88</v>
      </c>
      <c r="BM4" s="188">
        <f>VLOOKUP(B:B,[1]Sheet17!$E$1:$F$65536,2,0)</f>
        <v>334.15</v>
      </c>
      <c r="BN4" s="188">
        <f t="shared" ref="BN4:BN35" si="16">BM4-BH4</f>
        <v>-658.73</v>
      </c>
      <c r="BO4" s="188">
        <f t="shared" ref="BO4:BO35" si="17">BM4-BL4</f>
        <v>-658.73</v>
      </c>
      <c r="BP4" s="188">
        <f t="shared" si="2"/>
        <v>50.122500000000002</v>
      </c>
      <c r="BQ4" s="188">
        <f>BN4*0.05</f>
        <v>-32.936500000000002</v>
      </c>
      <c r="BR4" s="166">
        <v>10859.4</v>
      </c>
      <c r="BS4" s="166">
        <v>11945.34</v>
      </c>
      <c r="BT4" s="166">
        <v>13031.28</v>
      </c>
      <c r="BU4" s="166">
        <v>3</v>
      </c>
      <c r="BV4" s="166">
        <v>13031.28</v>
      </c>
      <c r="BW4" s="188">
        <f>VLOOKUP(B:B,[2]Sheet1!$G$1:$H$65536,2,0)</f>
        <v>10718.25</v>
      </c>
      <c r="BX4" s="188">
        <f t="shared" ref="BX4:BX35" si="18">BW4-BR4</f>
        <v>-141.15</v>
      </c>
      <c r="BY4" s="188">
        <f t="shared" ref="BY4:BY35" si="19">BW4-BV4</f>
        <v>-2313.0300000000002</v>
      </c>
      <c r="BZ4" s="166">
        <f>BW4*0.08</f>
        <v>857.46</v>
      </c>
      <c r="CA4" s="174">
        <f>BX4*0.05</f>
        <v>-7.0574999999999797</v>
      </c>
      <c r="CB4" s="188">
        <f t="shared" ref="CB4:CB35" si="20">P4+Z4+AM4+AY4+BF4+BP4+BZ4</f>
        <v>1677.8815999999999</v>
      </c>
      <c r="CC4" s="218">
        <f>VLOOKUP(B:B,[3]门店完成率!$A:$Y,25,0)</f>
        <v>0.99132824760244098</v>
      </c>
      <c r="CD4" s="188">
        <f>CB4*0.5+CB4*0.5*CC4</f>
        <v>1670.6065131061901</v>
      </c>
      <c r="CE4" s="188">
        <f t="shared" ref="CE4:CE19" si="21">ROUND(CD4,2)</f>
        <v>1670.61</v>
      </c>
      <c r="CF4" s="188">
        <f t="shared" ref="CF4:CF35" si="22">Q4+AA4+AN4+AZ4+BG4+BQ4+CA4</f>
        <v>-82.373999999999995</v>
      </c>
      <c r="CG4" s="188">
        <f t="shared" ref="CG4:CG19" si="23">ROUND(CF4,2)</f>
        <v>-82.37</v>
      </c>
    </row>
    <row r="5" spans="1:241" s="151" customFormat="1" ht="12">
      <c r="A5" s="164">
        <v>3</v>
      </c>
      <c r="B5" s="166">
        <v>746</v>
      </c>
      <c r="C5" s="166" t="s">
        <v>47</v>
      </c>
      <c r="D5" s="166" t="s">
        <v>45</v>
      </c>
      <c r="E5" s="165">
        <v>2</v>
      </c>
      <c r="F5" s="165">
        <v>3</v>
      </c>
      <c r="G5" s="165">
        <v>4</v>
      </c>
      <c r="H5" s="165">
        <v>1</v>
      </c>
      <c r="I5" s="165">
        <v>2</v>
      </c>
      <c r="J5" s="165">
        <v>1</v>
      </c>
      <c r="K5" s="165">
        <f>VLOOKUP(B:B,[5]Sheet1!$I$1:$K$65536,3,0)</f>
        <v>1</v>
      </c>
      <c r="L5" s="165">
        <f>VLOOKUP(B:B,[5]Sheet1!$I$1:$M$65536,5,0)</f>
        <v>0</v>
      </c>
      <c r="M5" s="165">
        <f>VLOOKUP(B:B,[5]Sheet1!$I$1:$N$65536,6,0)</f>
        <v>0</v>
      </c>
      <c r="N5" s="165">
        <f t="shared" si="3"/>
        <v>-1</v>
      </c>
      <c r="O5" s="165">
        <f t="shared" si="4"/>
        <v>-1</v>
      </c>
      <c r="P5" s="165">
        <f t="shared" si="0"/>
        <v>70</v>
      </c>
      <c r="Q5" s="165">
        <f t="shared" si="1"/>
        <v>-15</v>
      </c>
      <c r="R5" s="188">
        <v>1478</v>
      </c>
      <c r="S5" s="189">
        <v>1625.8</v>
      </c>
      <c r="T5" s="189">
        <v>1773.6</v>
      </c>
      <c r="U5" s="189">
        <v>1</v>
      </c>
      <c r="V5" s="188">
        <v>1478</v>
      </c>
      <c r="W5" s="188">
        <f>VLOOKUP(B:B,[1]Sheet1!$F$1:$G$65536,2,0)</f>
        <v>1456.74</v>
      </c>
      <c r="X5" s="188">
        <f t="shared" si="5"/>
        <v>-21.26</v>
      </c>
      <c r="Y5" s="188">
        <f t="shared" si="6"/>
        <v>-21.26</v>
      </c>
      <c r="Z5" s="188"/>
      <c r="AA5" s="197">
        <f>X5*0.05</f>
        <v>-1.0629999999999999</v>
      </c>
      <c r="AB5" s="165">
        <v>88</v>
      </c>
      <c r="AC5" s="195">
        <v>97</v>
      </c>
      <c r="AD5" s="195">
        <v>106</v>
      </c>
      <c r="AE5" s="164">
        <v>2</v>
      </c>
      <c r="AF5" s="196">
        <v>97</v>
      </c>
      <c r="AG5" s="206">
        <f>VLOOKUP(B:B,[1]Sheet3!$G$1:$H$65536,2,0)</f>
        <v>49</v>
      </c>
      <c r="AH5" s="206">
        <f>VLOOKUP(B:B,[1]Sheet5!$E$1:$F$65536,2,0)</f>
        <v>5</v>
      </c>
      <c r="AI5" s="206">
        <f>VLOOKUP(B:B,[1]Sheet8!$G$1:$H$65536,2,0)</f>
        <v>32</v>
      </c>
      <c r="AJ5" s="206">
        <f t="shared" si="7"/>
        <v>86</v>
      </c>
      <c r="AK5" s="196">
        <f t="shared" si="8"/>
        <v>-2</v>
      </c>
      <c r="AL5" s="196">
        <f t="shared" si="9"/>
        <v>-11</v>
      </c>
      <c r="AM5" s="196"/>
      <c r="AN5" s="196">
        <f>AK5*1</f>
        <v>-2</v>
      </c>
      <c r="AO5" s="166">
        <v>504</v>
      </c>
      <c r="AP5" s="166">
        <v>554.4</v>
      </c>
      <c r="AQ5" s="166">
        <v>604.79999999999995</v>
      </c>
      <c r="AR5" s="166">
        <v>1</v>
      </c>
      <c r="AS5" s="166">
        <v>504</v>
      </c>
      <c r="AT5" s="188">
        <f>VLOOKUP(B:B,[1]Sheet10!$F$1:$G$65536,2,0)</f>
        <v>84.7</v>
      </c>
      <c r="AU5" s="188">
        <f>VLOOKUP(B:B,[1]Sheet12!$G$1:$H$65536,2,0)</f>
        <v>149</v>
      </c>
      <c r="AV5" s="188">
        <f t="shared" si="10"/>
        <v>233.7</v>
      </c>
      <c r="AW5" s="188">
        <f t="shared" si="11"/>
        <v>-270.3</v>
      </c>
      <c r="AX5" s="188">
        <f t="shared" si="12"/>
        <v>-270.3</v>
      </c>
      <c r="AY5" s="166"/>
      <c r="AZ5" s="188">
        <f>AW5*0.04</f>
        <v>-10.811999999999999</v>
      </c>
      <c r="BA5" s="188">
        <f>VLOOKUP(B:B,[4]查询时间段分门店销售明细!$B$1:$X$65536,23,0)</f>
        <v>2989.33</v>
      </c>
      <c r="BB5" s="188">
        <f>VLOOKUP(B:B,[1]Sheet14!$G$1:$I$65536,3,0)</f>
        <v>5712.4000000000096</v>
      </c>
      <c r="BC5" s="188">
        <v>24.15</v>
      </c>
      <c r="BD5" s="188">
        <f t="shared" si="13"/>
        <v>5736.5500000000102</v>
      </c>
      <c r="BE5" s="188">
        <f t="shared" si="14"/>
        <v>2747.2200000000098</v>
      </c>
      <c r="BF5" s="188">
        <f t="shared" si="15"/>
        <v>571.96450000000095</v>
      </c>
      <c r="BG5" s="210"/>
      <c r="BH5" s="166">
        <v>1643.76</v>
      </c>
      <c r="BI5" s="166">
        <v>1808.136</v>
      </c>
      <c r="BJ5" s="166">
        <v>1972.5119999999999</v>
      </c>
      <c r="BK5" s="166">
        <v>1</v>
      </c>
      <c r="BL5" s="166">
        <v>1643.76</v>
      </c>
      <c r="BM5" s="188">
        <f>VLOOKUP(B:B,[1]Sheet17!$E$1:$F$65536,2,0)</f>
        <v>989.65</v>
      </c>
      <c r="BN5" s="188">
        <f t="shared" si="16"/>
        <v>-654.11</v>
      </c>
      <c r="BO5" s="188">
        <f t="shared" si="17"/>
        <v>-654.11</v>
      </c>
      <c r="BP5" s="188">
        <f t="shared" si="2"/>
        <v>148.44749999999999</v>
      </c>
      <c r="BQ5" s="188">
        <f>BN5*0.05</f>
        <v>-32.705500000000001</v>
      </c>
      <c r="BR5" s="166">
        <v>13189.5</v>
      </c>
      <c r="BS5" s="166">
        <v>14508.45</v>
      </c>
      <c r="BT5" s="166">
        <v>15827.4</v>
      </c>
      <c r="BU5" s="166">
        <v>1</v>
      </c>
      <c r="BV5" s="166">
        <v>13189.5</v>
      </c>
      <c r="BW5" s="188">
        <f>VLOOKUP(B:B,[2]Sheet1!$G$1:$H$65536,2,0)</f>
        <v>8314.81</v>
      </c>
      <c r="BX5" s="188">
        <f t="shared" si="18"/>
        <v>-4874.6899999999996</v>
      </c>
      <c r="BY5" s="188">
        <f t="shared" si="19"/>
        <v>-4874.6899999999996</v>
      </c>
      <c r="BZ5" s="166">
        <f t="shared" ref="BZ5:BZ12" si="24">BW5*0.08</f>
        <v>665.1848</v>
      </c>
      <c r="CA5" s="174">
        <f>BX5*0.05</f>
        <v>-243.7345</v>
      </c>
      <c r="CB5" s="188">
        <f t="shared" si="20"/>
        <v>1455.5968</v>
      </c>
      <c r="CC5" s="218">
        <f>VLOOKUP(B:B,[3]门店完成率!$A:$Y,25,0)</f>
        <v>0.93207757296466998</v>
      </c>
      <c r="CD5" s="188">
        <f>CB5*0.5+CB5*0.5*CC5</f>
        <v>1406.1629662795699</v>
      </c>
      <c r="CE5" s="188">
        <f t="shared" si="21"/>
        <v>1406.16</v>
      </c>
      <c r="CF5" s="188">
        <f t="shared" si="22"/>
        <v>-305.315</v>
      </c>
      <c r="CG5" s="188">
        <f t="shared" si="23"/>
        <v>-305.32</v>
      </c>
      <c r="CH5" s="152"/>
      <c r="CI5" s="152"/>
      <c r="CJ5" s="152"/>
      <c r="CK5" s="152"/>
      <c r="CL5" s="152"/>
      <c r="CM5" s="152"/>
      <c r="CN5" s="152"/>
      <c r="CO5" s="152"/>
      <c r="CP5" s="152"/>
      <c r="CQ5" s="152"/>
      <c r="CR5" s="152"/>
      <c r="CS5" s="152"/>
      <c r="CT5" s="152"/>
      <c r="CU5" s="152"/>
      <c r="CV5" s="152"/>
      <c r="CW5" s="152"/>
      <c r="CX5" s="152"/>
      <c r="CY5" s="152"/>
      <c r="CZ5" s="152"/>
      <c r="DA5" s="152"/>
      <c r="DB5" s="152"/>
      <c r="DC5" s="152"/>
      <c r="DD5" s="152"/>
      <c r="DE5" s="152"/>
      <c r="DF5" s="152"/>
      <c r="DG5" s="152"/>
      <c r="DH5" s="152"/>
      <c r="DI5" s="152"/>
      <c r="DJ5" s="152"/>
      <c r="DK5" s="152"/>
      <c r="DL5" s="152"/>
      <c r="DM5" s="152"/>
      <c r="DN5" s="152"/>
      <c r="DO5" s="152"/>
      <c r="DP5" s="152"/>
      <c r="DQ5" s="152"/>
      <c r="DR5" s="152"/>
      <c r="DS5" s="152"/>
      <c r="DT5" s="152"/>
      <c r="DU5" s="152"/>
      <c r="DV5" s="152"/>
      <c r="DW5" s="152"/>
      <c r="DX5" s="152"/>
      <c r="DY5" s="152"/>
      <c r="DZ5" s="152"/>
      <c r="EA5" s="152"/>
      <c r="EB5" s="152"/>
      <c r="EC5" s="152"/>
      <c r="ED5" s="152"/>
      <c r="EE5" s="152"/>
      <c r="EF5" s="152"/>
      <c r="EG5" s="152"/>
      <c r="EH5" s="152"/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2"/>
      <c r="EW5" s="152"/>
      <c r="EX5" s="152"/>
      <c r="EY5" s="152"/>
      <c r="EZ5" s="152"/>
      <c r="FA5" s="152"/>
      <c r="FB5" s="152"/>
      <c r="FC5" s="152"/>
      <c r="FD5" s="152"/>
      <c r="FE5" s="152"/>
      <c r="FF5" s="152"/>
      <c r="FG5" s="152"/>
      <c r="FH5" s="152"/>
      <c r="FI5" s="152"/>
      <c r="FJ5" s="152"/>
      <c r="FK5" s="152"/>
      <c r="FL5" s="152"/>
      <c r="FM5" s="152"/>
      <c r="FN5" s="152"/>
      <c r="FO5" s="152"/>
      <c r="FP5" s="152"/>
      <c r="FQ5" s="152"/>
      <c r="FR5" s="152"/>
      <c r="FS5" s="152"/>
      <c r="FT5" s="152"/>
      <c r="FU5" s="152"/>
      <c r="FV5" s="152"/>
      <c r="FW5" s="152"/>
      <c r="FX5" s="152"/>
      <c r="FY5" s="152"/>
      <c r="FZ5" s="152"/>
      <c r="GA5" s="152"/>
      <c r="GB5" s="152"/>
      <c r="GC5" s="152"/>
      <c r="GD5" s="152"/>
      <c r="GE5" s="152"/>
      <c r="GF5" s="152"/>
      <c r="GG5" s="152"/>
      <c r="GH5" s="152"/>
      <c r="GI5" s="152"/>
      <c r="GJ5" s="152"/>
      <c r="GK5" s="152"/>
      <c r="GL5" s="152"/>
      <c r="GM5" s="152"/>
      <c r="GN5" s="152"/>
      <c r="GO5" s="152"/>
      <c r="GP5" s="152"/>
      <c r="GQ5" s="152"/>
      <c r="GR5" s="152"/>
      <c r="GS5" s="152"/>
      <c r="GT5" s="152"/>
      <c r="GU5" s="152"/>
      <c r="GV5" s="152"/>
      <c r="GW5" s="152"/>
      <c r="GX5" s="152"/>
      <c r="GY5" s="152"/>
      <c r="GZ5" s="152"/>
      <c r="HA5" s="152"/>
      <c r="HB5" s="152"/>
      <c r="HC5" s="152"/>
    </row>
    <row r="6" spans="1:241" s="152" customFormat="1" ht="12">
      <c r="A6" s="164">
        <v>4</v>
      </c>
      <c r="B6" s="166">
        <v>716</v>
      </c>
      <c r="C6" s="166" t="s">
        <v>48</v>
      </c>
      <c r="D6" s="166" t="s">
        <v>45</v>
      </c>
      <c r="E6" s="165">
        <v>1</v>
      </c>
      <c r="F6" s="165">
        <v>2</v>
      </c>
      <c r="G6" s="165">
        <v>3</v>
      </c>
      <c r="H6" s="165">
        <v>1</v>
      </c>
      <c r="I6" s="165">
        <v>1</v>
      </c>
      <c r="J6" s="165">
        <v>0</v>
      </c>
      <c r="K6" s="165">
        <v>0</v>
      </c>
      <c r="L6" s="165">
        <v>0</v>
      </c>
      <c r="M6" s="165">
        <v>0</v>
      </c>
      <c r="N6" s="165">
        <f t="shared" si="3"/>
        <v>-1</v>
      </c>
      <c r="O6" s="165">
        <f t="shared" si="4"/>
        <v>-1</v>
      </c>
      <c r="P6" s="165">
        <f t="shared" si="0"/>
        <v>0</v>
      </c>
      <c r="Q6" s="165">
        <f t="shared" si="1"/>
        <v>-15</v>
      </c>
      <c r="R6" s="188">
        <v>1433</v>
      </c>
      <c r="S6" s="189">
        <v>1576.3</v>
      </c>
      <c r="T6" s="189">
        <v>1719.6</v>
      </c>
      <c r="U6" s="189">
        <v>1</v>
      </c>
      <c r="V6" s="188">
        <v>1433</v>
      </c>
      <c r="W6" s="188">
        <f>VLOOKUP(B:B,[1]Sheet1!$F$1:$G$65536,2,0)</f>
        <v>2012.29</v>
      </c>
      <c r="X6" s="188">
        <f t="shared" si="5"/>
        <v>579.29</v>
      </c>
      <c r="Y6" s="188">
        <f t="shared" si="6"/>
        <v>579.29</v>
      </c>
      <c r="Z6" s="188">
        <f>W6*0.07</f>
        <v>140.8603</v>
      </c>
      <c r="AA6" s="188"/>
      <c r="AB6" s="165">
        <v>61</v>
      </c>
      <c r="AC6" s="195">
        <v>67</v>
      </c>
      <c r="AD6" s="195">
        <v>73</v>
      </c>
      <c r="AE6" s="164">
        <v>1</v>
      </c>
      <c r="AF6" s="196">
        <v>61</v>
      </c>
      <c r="AG6" s="206">
        <f>VLOOKUP(B:B,[1]Sheet3!$G$1:$H$65536,2,0)</f>
        <v>18</v>
      </c>
      <c r="AH6" s="206">
        <f>VLOOKUP(B:B,[1]Sheet5!$E$1:$F$65536,2,0)</f>
        <v>5</v>
      </c>
      <c r="AI6" s="206">
        <f>VLOOKUP(B:B,[1]Sheet8!$G$1:$H$65536,2,0)</f>
        <v>1</v>
      </c>
      <c r="AJ6" s="206">
        <f t="shared" si="7"/>
        <v>24</v>
      </c>
      <c r="AK6" s="196">
        <f t="shared" si="8"/>
        <v>-37</v>
      </c>
      <c r="AL6" s="196">
        <f t="shared" si="9"/>
        <v>-37</v>
      </c>
      <c r="AM6" s="196"/>
      <c r="AN6" s="196">
        <f>AK6*1</f>
        <v>-37</v>
      </c>
      <c r="AO6" s="166">
        <v>394.2</v>
      </c>
      <c r="AP6" s="166">
        <v>433.62</v>
      </c>
      <c r="AQ6" s="166">
        <v>473.04</v>
      </c>
      <c r="AR6" s="166">
        <v>1</v>
      </c>
      <c r="AS6" s="166">
        <v>394.2</v>
      </c>
      <c r="AT6" s="188">
        <f>VLOOKUP(B:B,[1]Sheet10!$F$1:$G$65536,2,0)</f>
        <v>259.45</v>
      </c>
      <c r="AU6" s="188">
        <f>VLOOKUP(B:B,[1]Sheet12!$G$1:$H$65536,2,0)</f>
        <v>223</v>
      </c>
      <c r="AV6" s="188">
        <f t="shared" si="10"/>
        <v>482.45</v>
      </c>
      <c r="AW6" s="188">
        <f t="shared" si="11"/>
        <v>88.25</v>
      </c>
      <c r="AX6" s="188">
        <f t="shared" si="12"/>
        <v>88.25</v>
      </c>
      <c r="AY6" s="166">
        <f>AT6*0.05+AU6*0.03</f>
        <v>19.662500000000001</v>
      </c>
      <c r="AZ6" s="166"/>
      <c r="BA6" s="188">
        <f>VLOOKUP(B:B,[4]查询时间段分门店销售明细!$B$1:$X$65536,23,0)</f>
        <v>3331.62</v>
      </c>
      <c r="BB6" s="188">
        <f>VLOOKUP(B:B,[1]Sheet14!$G$1:$I$65536,3,0)</f>
        <v>5295.5700000000097</v>
      </c>
      <c r="BC6" s="188">
        <v>0</v>
      </c>
      <c r="BD6" s="188">
        <f t="shared" si="13"/>
        <v>5295.5700000000097</v>
      </c>
      <c r="BE6" s="188">
        <f t="shared" si="14"/>
        <v>1963.95000000001</v>
      </c>
      <c r="BF6" s="188">
        <f t="shared" si="15"/>
        <v>529.55700000000104</v>
      </c>
      <c r="BG6" s="166"/>
      <c r="BH6" s="166">
        <v>1126.08</v>
      </c>
      <c r="BI6" s="166">
        <v>1238.6880000000001</v>
      </c>
      <c r="BJ6" s="166">
        <v>1351.296</v>
      </c>
      <c r="BK6" s="166">
        <v>3</v>
      </c>
      <c r="BL6" s="166">
        <v>1351.296</v>
      </c>
      <c r="BM6" s="188">
        <f>VLOOKUP(B:B,[1]Sheet17!$E$1:$F$65536,2,0)</f>
        <v>770</v>
      </c>
      <c r="BN6" s="188">
        <f t="shared" si="16"/>
        <v>-356.08</v>
      </c>
      <c r="BO6" s="188">
        <f t="shared" si="17"/>
        <v>-581.29600000000005</v>
      </c>
      <c r="BP6" s="188">
        <f t="shared" si="2"/>
        <v>115.5</v>
      </c>
      <c r="BQ6" s="188">
        <f>BN6*0.05</f>
        <v>-17.803999999999998</v>
      </c>
      <c r="BR6" s="166">
        <v>8323.2000000000007</v>
      </c>
      <c r="BS6" s="166">
        <v>9155.52</v>
      </c>
      <c r="BT6" s="166">
        <v>9987.84</v>
      </c>
      <c r="BU6" s="166">
        <v>1</v>
      </c>
      <c r="BV6" s="166">
        <v>8323.2000000000007</v>
      </c>
      <c r="BW6" s="188">
        <f>VLOOKUP(B:B,[2]Sheet1!$G$1:$H$65536,2,0)</f>
        <v>6672.65</v>
      </c>
      <c r="BX6" s="188">
        <f t="shared" si="18"/>
        <v>-1650.55</v>
      </c>
      <c r="BY6" s="188">
        <f t="shared" si="19"/>
        <v>-1650.55</v>
      </c>
      <c r="BZ6" s="166">
        <f t="shared" si="24"/>
        <v>533.81200000000001</v>
      </c>
      <c r="CA6" s="174">
        <f>BX6*0.05</f>
        <v>-82.527500000000103</v>
      </c>
      <c r="CB6" s="188">
        <f t="shared" si="20"/>
        <v>1339.3918000000001</v>
      </c>
      <c r="CC6" s="218">
        <f>VLOOKUP(B:B,[3]门店完成率!$A:$Y,25,0)</f>
        <v>0.948831362007168</v>
      </c>
      <c r="CD6" s="188">
        <f>CB6*0.5+CB6*0.5*CC6</f>
        <v>1305.12437292762</v>
      </c>
      <c r="CE6" s="188">
        <f t="shared" si="21"/>
        <v>1305.1199999999999</v>
      </c>
      <c r="CF6" s="188">
        <f t="shared" si="22"/>
        <v>-152.33150000000001</v>
      </c>
      <c r="CG6" s="188">
        <f t="shared" si="23"/>
        <v>-152.33000000000001</v>
      </c>
    </row>
    <row r="7" spans="1:241" s="152" customFormat="1" ht="14.25">
      <c r="A7" s="164">
        <v>5</v>
      </c>
      <c r="B7" s="164">
        <v>717</v>
      </c>
      <c r="C7" s="164" t="s">
        <v>49</v>
      </c>
      <c r="D7" s="164" t="s">
        <v>45</v>
      </c>
      <c r="E7" s="165">
        <v>2</v>
      </c>
      <c r="F7" s="165">
        <v>3</v>
      </c>
      <c r="G7" s="165">
        <v>4</v>
      </c>
      <c r="H7" s="165">
        <v>1</v>
      </c>
      <c r="I7" s="165">
        <v>2</v>
      </c>
      <c r="J7" s="165">
        <v>0</v>
      </c>
      <c r="K7" s="165">
        <v>0</v>
      </c>
      <c r="L7" s="165">
        <v>0</v>
      </c>
      <c r="M7" s="165">
        <v>0</v>
      </c>
      <c r="N7" s="165">
        <f t="shared" si="3"/>
        <v>-2</v>
      </c>
      <c r="O7" s="165">
        <f t="shared" si="4"/>
        <v>-2</v>
      </c>
      <c r="P7" s="165">
        <f t="shared" si="0"/>
        <v>0</v>
      </c>
      <c r="Q7" s="165">
        <f t="shared" si="1"/>
        <v>-30</v>
      </c>
      <c r="R7" s="164">
        <v>1854</v>
      </c>
      <c r="S7" s="189">
        <v>2039.4</v>
      </c>
      <c r="T7" s="189">
        <v>2224.8000000000002</v>
      </c>
      <c r="U7" s="189">
        <v>1</v>
      </c>
      <c r="V7" s="164">
        <v>1854</v>
      </c>
      <c r="W7" s="188">
        <f>VLOOKUP(B:B,[1]Sheet1!$F$1:$G$65536,2,0)</f>
        <v>1336.01</v>
      </c>
      <c r="X7" s="188">
        <f t="shared" si="5"/>
        <v>-517.99</v>
      </c>
      <c r="Y7" s="188">
        <f t="shared" si="6"/>
        <v>-517.99</v>
      </c>
      <c r="Z7" s="164"/>
      <c r="AA7" s="197">
        <f>X7*0.05</f>
        <v>-25.8995</v>
      </c>
      <c r="AB7" s="165">
        <v>69</v>
      </c>
      <c r="AC7" s="195">
        <v>76</v>
      </c>
      <c r="AD7" s="195">
        <v>83</v>
      </c>
      <c r="AE7" s="164">
        <v>2</v>
      </c>
      <c r="AF7" s="196">
        <v>76</v>
      </c>
      <c r="AG7" s="206">
        <f>VLOOKUP(B:B,[1]Sheet3!$G$1:$H$65536,2,0)</f>
        <v>23</v>
      </c>
      <c r="AH7" s="206">
        <f>VLOOKUP(B:B,[1]Sheet5!$E$1:$F$65536,2,0)</f>
        <v>5</v>
      </c>
      <c r="AI7" s="206">
        <f>VLOOKUP(B:B,[1]Sheet8!$G$1:$H$65536,2,0)</f>
        <v>26</v>
      </c>
      <c r="AJ7" s="206">
        <f t="shared" si="7"/>
        <v>54</v>
      </c>
      <c r="AK7" s="196">
        <f t="shared" si="8"/>
        <v>-15</v>
      </c>
      <c r="AL7" s="196">
        <f t="shared" si="9"/>
        <v>-22</v>
      </c>
      <c r="AM7" s="196"/>
      <c r="AN7" s="196">
        <f>AK7*1</f>
        <v>-15</v>
      </c>
      <c r="AO7" s="164">
        <v>385.2</v>
      </c>
      <c r="AP7" s="164">
        <v>423.72</v>
      </c>
      <c r="AQ7" s="164">
        <v>462.24</v>
      </c>
      <c r="AR7" s="164">
        <v>1</v>
      </c>
      <c r="AS7" s="164">
        <v>385.2</v>
      </c>
      <c r="AT7" s="188">
        <f>VLOOKUP(B:B,[1]Sheet10!$F$1:$G$65536,2,0)</f>
        <v>326.89999999999998</v>
      </c>
      <c r="AU7" s="188">
        <f>VLOOKUP(B:B,[1]Sheet12!$G$1:$H$65536,2,0)</f>
        <v>77.8</v>
      </c>
      <c r="AV7" s="188">
        <f t="shared" si="10"/>
        <v>404.7</v>
      </c>
      <c r="AW7" s="188">
        <f t="shared" si="11"/>
        <v>19.5</v>
      </c>
      <c r="AX7" s="188">
        <f t="shared" si="12"/>
        <v>19.5</v>
      </c>
      <c r="AY7" s="166">
        <f>AT7*0.05+AU7*0.03</f>
        <v>18.678999999999998</v>
      </c>
      <c r="AZ7" s="164"/>
      <c r="BA7" s="164">
        <f>VLOOKUP(B:B,[6]查询时间段分门店销售明细!$B$1:$X$65536,23,0)</f>
        <v>3038.04</v>
      </c>
      <c r="BB7" s="188">
        <f>VLOOKUP(B:B,[1]Sheet14!$G$1:$I$65536,3,0)</f>
        <v>5630.8000000000102</v>
      </c>
      <c r="BC7" s="188">
        <v>0</v>
      </c>
      <c r="BD7" s="188">
        <f t="shared" si="13"/>
        <v>5630.8000000000102</v>
      </c>
      <c r="BE7" s="188">
        <f t="shared" si="14"/>
        <v>2592.7600000000102</v>
      </c>
      <c r="BF7" s="188">
        <f t="shared" si="15"/>
        <v>563.08000000000095</v>
      </c>
      <c r="BG7" s="166"/>
      <c r="BH7" s="164">
        <v>1265.76</v>
      </c>
      <c r="BI7" s="164">
        <v>1392.336</v>
      </c>
      <c r="BJ7" s="164">
        <v>1518.912</v>
      </c>
      <c r="BK7" s="164">
        <v>1</v>
      </c>
      <c r="BL7" s="164">
        <v>1265.76</v>
      </c>
      <c r="BM7" s="188">
        <f>VLOOKUP(B:B,[1]Sheet17!$E$1:$F$65536,2,0)</f>
        <v>1844</v>
      </c>
      <c r="BN7" s="188">
        <f t="shared" si="16"/>
        <v>578.24</v>
      </c>
      <c r="BO7" s="188">
        <f t="shared" si="17"/>
        <v>578.24</v>
      </c>
      <c r="BP7" s="188">
        <f t="shared" si="2"/>
        <v>276.60000000000002</v>
      </c>
      <c r="BQ7" s="164"/>
      <c r="BR7" s="164">
        <v>11819.7</v>
      </c>
      <c r="BS7" s="164">
        <v>13001.67</v>
      </c>
      <c r="BT7" s="164">
        <v>14183.64</v>
      </c>
      <c r="BU7" s="164">
        <v>1</v>
      </c>
      <c r="BV7" s="164">
        <v>11819.7</v>
      </c>
      <c r="BW7" s="188">
        <f>VLOOKUP(B:B,[2]Sheet1!$G$1:$H$65536,2,0)</f>
        <v>6708.84</v>
      </c>
      <c r="BX7" s="188">
        <f t="shared" si="18"/>
        <v>-5110.8599999999997</v>
      </c>
      <c r="BY7" s="188">
        <f t="shared" si="19"/>
        <v>-5110.8599999999997</v>
      </c>
      <c r="BZ7" s="166">
        <f t="shared" si="24"/>
        <v>536.70719999999994</v>
      </c>
      <c r="CA7" s="174">
        <f>BX7*0.05</f>
        <v>-255.54300000000001</v>
      </c>
      <c r="CB7" s="188">
        <f t="shared" si="20"/>
        <v>1395.0662</v>
      </c>
      <c r="CC7" s="218">
        <f>VLOOKUP(B:B,[3]门店完成率!$A:$Y,25,0)</f>
        <v>0.817957728494624</v>
      </c>
      <c r="CD7" s="188">
        <f>CB7*0.5+CB7*0.5*CC7</f>
        <v>1268.08569002581</v>
      </c>
      <c r="CE7" s="188">
        <f t="shared" si="21"/>
        <v>1268.0899999999999</v>
      </c>
      <c r="CF7" s="188">
        <f t="shared" si="22"/>
        <v>-326.4425</v>
      </c>
      <c r="CG7" s="188">
        <f t="shared" si="23"/>
        <v>-326.44</v>
      </c>
      <c r="CH7" s="220"/>
      <c r="CI7" s="220"/>
      <c r="CJ7" s="220"/>
      <c r="CK7" s="220"/>
      <c r="CL7" s="220"/>
      <c r="CM7" s="220"/>
      <c r="CN7" s="220"/>
      <c r="CO7" s="220"/>
      <c r="CP7" s="220"/>
      <c r="CQ7" s="220"/>
      <c r="CR7" s="220"/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5"/>
      <c r="FM7" s="225"/>
      <c r="FN7" s="225"/>
      <c r="FO7" s="225"/>
      <c r="FP7" s="225"/>
      <c r="FQ7" s="225"/>
      <c r="FR7" s="225"/>
      <c r="FS7" s="225"/>
      <c r="FT7" s="225"/>
      <c r="FU7" s="225"/>
      <c r="FV7" s="225"/>
      <c r="FW7" s="225"/>
      <c r="FX7" s="225"/>
      <c r="FY7" s="225"/>
      <c r="FZ7" s="225"/>
      <c r="GA7" s="225"/>
      <c r="GB7" s="225"/>
      <c r="GC7" s="225"/>
      <c r="GD7" s="225"/>
      <c r="GE7" s="225"/>
      <c r="GF7" s="225"/>
      <c r="GG7" s="225"/>
      <c r="GH7" s="225"/>
      <c r="GI7" s="225"/>
      <c r="GJ7" s="225"/>
      <c r="GK7" s="225"/>
      <c r="GL7" s="225"/>
      <c r="GM7" s="225"/>
      <c r="GN7" s="225"/>
      <c r="GO7" s="225"/>
      <c r="GP7" s="225"/>
      <c r="GQ7" s="225"/>
      <c r="GR7" s="225"/>
      <c r="GS7" s="225"/>
      <c r="GT7" s="225"/>
      <c r="GU7" s="225"/>
      <c r="GV7" s="225"/>
      <c r="GW7" s="225"/>
      <c r="GX7" s="225"/>
      <c r="GY7" s="225"/>
      <c r="GZ7" s="225"/>
      <c r="HA7" s="225"/>
      <c r="HB7" s="225"/>
      <c r="HC7" s="225"/>
      <c r="HD7" s="225"/>
      <c r="HE7" s="225"/>
    </row>
    <row r="8" spans="1:241" s="152" customFormat="1" ht="12">
      <c r="A8" s="164">
        <v>6</v>
      </c>
      <c r="B8" s="166">
        <v>720</v>
      </c>
      <c r="C8" s="166" t="s">
        <v>50</v>
      </c>
      <c r="D8" s="166" t="s">
        <v>45</v>
      </c>
      <c r="E8" s="165">
        <v>1</v>
      </c>
      <c r="F8" s="165">
        <v>2</v>
      </c>
      <c r="G8" s="165">
        <v>3</v>
      </c>
      <c r="H8" s="165">
        <v>1</v>
      </c>
      <c r="I8" s="165">
        <v>1</v>
      </c>
      <c r="J8" s="165">
        <v>0</v>
      </c>
      <c r="K8" s="165">
        <v>0</v>
      </c>
      <c r="L8" s="165">
        <v>0</v>
      </c>
      <c r="M8" s="165">
        <v>0</v>
      </c>
      <c r="N8" s="165">
        <f t="shared" si="3"/>
        <v>-1</v>
      </c>
      <c r="O8" s="165">
        <f t="shared" si="4"/>
        <v>-1</v>
      </c>
      <c r="P8" s="165">
        <f t="shared" si="0"/>
        <v>0</v>
      </c>
      <c r="Q8" s="165">
        <f t="shared" si="1"/>
        <v>-15</v>
      </c>
      <c r="R8" s="188">
        <v>1957</v>
      </c>
      <c r="S8" s="189">
        <v>2152.6999999999998</v>
      </c>
      <c r="T8" s="189">
        <v>2348.4</v>
      </c>
      <c r="U8" s="189">
        <v>3</v>
      </c>
      <c r="V8" s="188">
        <v>2348.4</v>
      </c>
      <c r="W8" s="188">
        <f>VLOOKUP(B:B,[1]Sheet1!$F$1:$G$65536,2,0)</f>
        <v>2392.56</v>
      </c>
      <c r="X8" s="188">
        <f t="shared" si="5"/>
        <v>435.56</v>
      </c>
      <c r="Y8" s="188">
        <f t="shared" si="6"/>
        <v>44.159999999999897</v>
      </c>
      <c r="Z8" s="188">
        <f>W8*0.11</f>
        <v>263.1816</v>
      </c>
      <c r="AA8" s="188"/>
      <c r="AB8" s="165">
        <v>47</v>
      </c>
      <c r="AC8" s="195">
        <v>52</v>
      </c>
      <c r="AD8" s="195">
        <v>56</v>
      </c>
      <c r="AE8" s="164">
        <v>1</v>
      </c>
      <c r="AF8" s="196">
        <v>47</v>
      </c>
      <c r="AG8" s="206">
        <f>VLOOKUP(B:B,[1]Sheet3!$G$1:$H$65536,2,0)</f>
        <v>21</v>
      </c>
      <c r="AH8" s="206">
        <f>VLOOKUP(B:B,[1]Sheet5!$E$1:$F$65536,2,0)</f>
        <v>4</v>
      </c>
      <c r="AI8" s="206">
        <f>VLOOKUP(B:B,[1]Sheet8!$G$1:$H$65536,2,0)</f>
        <v>41</v>
      </c>
      <c r="AJ8" s="206">
        <f t="shared" si="7"/>
        <v>66</v>
      </c>
      <c r="AK8" s="196">
        <f t="shared" si="8"/>
        <v>19</v>
      </c>
      <c r="AL8" s="196">
        <f t="shared" si="9"/>
        <v>19</v>
      </c>
      <c r="AM8" s="196">
        <f>AG8*1+AH8*0.5+AI8*2</f>
        <v>105</v>
      </c>
      <c r="AN8" s="196"/>
      <c r="AO8" s="166">
        <v>252</v>
      </c>
      <c r="AP8" s="166">
        <v>277.2</v>
      </c>
      <c r="AQ8" s="166">
        <v>302.39999999999998</v>
      </c>
      <c r="AR8" s="166">
        <v>1</v>
      </c>
      <c r="AS8" s="166">
        <v>252</v>
      </c>
      <c r="AT8" s="188">
        <f>VLOOKUP(B:B,[1]Sheet10!$F$1:$G$65536,2,0)</f>
        <v>71.25</v>
      </c>
      <c r="AU8" s="188">
        <f>VLOOKUP(B:B,[1]Sheet12!$G$1:$H$65536,2,0)</f>
        <v>74</v>
      </c>
      <c r="AV8" s="188">
        <f t="shared" si="10"/>
        <v>145.25</v>
      </c>
      <c r="AW8" s="188">
        <f t="shared" si="11"/>
        <v>-106.75</v>
      </c>
      <c r="AX8" s="188">
        <f t="shared" si="12"/>
        <v>-106.75</v>
      </c>
      <c r="AY8" s="166"/>
      <c r="AZ8" s="188">
        <f>AW8*0.04</f>
        <v>-4.2699999999999996</v>
      </c>
      <c r="BA8" s="188">
        <f>VLOOKUP(B:B,[4]查询时间段分门店销售明细!$B$1:$X$65536,23,0)</f>
        <v>1806.35</v>
      </c>
      <c r="BB8" s="188">
        <f>VLOOKUP(B:B,[1]Sheet14!$G$1:$I$65536,3,0)</f>
        <v>3239.6000000000099</v>
      </c>
      <c r="BC8" s="188">
        <v>0</v>
      </c>
      <c r="BD8" s="188">
        <f t="shared" si="13"/>
        <v>3239.6000000000099</v>
      </c>
      <c r="BE8" s="188">
        <f t="shared" si="14"/>
        <v>1433.25000000001</v>
      </c>
      <c r="BF8" s="188">
        <f t="shared" si="15"/>
        <v>323.960000000001</v>
      </c>
      <c r="BG8" s="166"/>
      <c r="BH8" s="166">
        <v>912.24</v>
      </c>
      <c r="BI8" s="166">
        <v>1003.4640000000001</v>
      </c>
      <c r="BJ8" s="166">
        <v>1094.6880000000001</v>
      </c>
      <c r="BK8" s="166">
        <v>1</v>
      </c>
      <c r="BL8" s="166">
        <v>912.24</v>
      </c>
      <c r="BM8" s="188">
        <f>VLOOKUP(B:B,[1]Sheet17!$E$1:$F$65536,2,0)</f>
        <v>507.5</v>
      </c>
      <c r="BN8" s="188">
        <f t="shared" si="16"/>
        <v>-404.74</v>
      </c>
      <c r="BO8" s="188">
        <f t="shared" si="17"/>
        <v>-404.74</v>
      </c>
      <c r="BP8" s="188">
        <f t="shared" si="2"/>
        <v>76.125</v>
      </c>
      <c r="BQ8" s="188">
        <f>BN8*0.05</f>
        <v>-20.236999999999998</v>
      </c>
      <c r="BR8" s="166">
        <v>8591.4</v>
      </c>
      <c r="BS8" s="166">
        <v>9450.5400000000009</v>
      </c>
      <c r="BT8" s="166">
        <v>10309.68</v>
      </c>
      <c r="BU8" s="166">
        <v>3</v>
      </c>
      <c r="BV8" s="166">
        <v>10309.68</v>
      </c>
      <c r="BW8" s="188">
        <f>VLOOKUP(B:B,[2]Sheet1!$G$1:$H$65536,2,0)</f>
        <v>10784.33</v>
      </c>
      <c r="BX8" s="188">
        <f t="shared" si="18"/>
        <v>2192.9299999999998</v>
      </c>
      <c r="BY8" s="188">
        <f t="shared" si="19"/>
        <v>474.65</v>
      </c>
      <c r="BZ8" s="166">
        <f>BW8*0.12</f>
        <v>1294.1196</v>
      </c>
      <c r="CA8" s="174"/>
      <c r="CB8" s="188">
        <f t="shared" si="20"/>
        <v>2062.3861999999999</v>
      </c>
      <c r="CC8" s="218">
        <f>VLOOKUP(B:B,[3]门店完成率!$A:$Y,25,0)</f>
        <v>1.00185284629981</v>
      </c>
      <c r="CD8" s="166">
        <f>CB8</f>
        <v>2062.3861999999999</v>
      </c>
      <c r="CE8" s="188">
        <f t="shared" si="21"/>
        <v>2062.39</v>
      </c>
      <c r="CF8" s="188">
        <f t="shared" si="22"/>
        <v>-39.506999999999998</v>
      </c>
      <c r="CG8" s="188">
        <f t="shared" si="23"/>
        <v>-39.51</v>
      </c>
    </row>
    <row r="9" spans="1:241" s="151" customFormat="1" ht="12">
      <c r="A9" s="164">
        <v>7</v>
      </c>
      <c r="B9" s="166">
        <v>539</v>
      </c>
      <c r="C9" s="166" t="s">
        <v>51</v>
      </c>
      <c r="D9" s="166" t="s">
        <v>45</v>
      </c>
      <c r="E9" s="165">
        <v>1</v>
      </c>
      <c r="F9" s="165">
        <v>2</v>
      </c>
      <c r="G9" s="165">
        <v>3</v>
      </c>
      <c r="H9" s="165">
        <v>1</v>
      </c>
      <c r="I9" s="165">
        <v>1</v>
      </c>
      <c r="J9" s="165">
        <v>1</v>
      </c>
      <c r="K9" s="165">
        <f>VLOOKUP(B:B,[5]Sheet1!$I$1:$K$65536,3,0)</f>
        <v>1</v>
      </c>
      <c r="L9" s="165">
        <f>VLOOKUP(B:B,[5]Sheet1!$I$1:$M$65536,5,0)</f>
        <v>0</v>
      </c>
      <c r="M9" s="165">
        <f>VLOOKUP(B:B,[5]Sheet1!$I$1:$N$65536,6,0)</f>
        <v>0</v>
      </c>
      <c r="N9" s="165">
        <f t="shared" si="3"/>
        <v>0</v>
      </c>
      <c r="O9" s="165">
        <f t="shared" si="4"/>
        <v>0</v>
      </c>
      <c r="P9" s="165">
        <f>K9*90+L9*15+M9*40</f>
        <v>90</v>
      </c>
      <c r="Q9" s="165"/>
      <c r="R9" s="188">
        <v>2669</v>
      </c>
      <c r="S9" s="189">
        <v>2935.9</v>
      </c>
      <c r="T9" s="189">
        <v>3202.8</v>
      </c>
      <c r="U9" s="189">
        <v>1</v>
      </c>
      <c r="V9" s="188">
        <v>2669</v>
      </c>
      <c r="W9" s="188">
        <f>VLOOKUP(B:B,[1]Sheet1!$F$1:$G$65536,2,0)</f>
        <v>3016.42</v>
      </c>
      <c r="X9" s="188">
        <f t="shared" si="5"/>
        <v>347.42</v>
      </c>
      <c r="Y9" s="188">
        <f t="shared" si="6"/>
        <v>347.42</v>
      </c>
      <c r="Z9" s="188">
        <f>W9*0.07</f>
        <v>211.14940000000001</v>
      </c>
      <c r="AA9" s="188"/>
      <c r="AB9" s="165">
        <v>53</v>
      </c>
      <c r="AC9" s="195">
        <v>58</v>
      </c>
      <c r="AD9" s="195">
        <v>64</v>
      </c>
      <c r="AE9" s="164">
        <v>1</v>
      </c>
      <c r="AF9" s="196">
        <v>53</v>
      </c>
      <c r="AG9" s="206">
        <f>VLOOKUP(B:B,[1]Sheet3!$G$1:$H$65536,2,0)</f>
        <v>32</v>
      </c>
      <c r="AH9" s="206">
        <f>VLOOKUP(B:B,[1]Sheet5!$E$1:$F$65536,2,0)</f>
        <v>3</v>
      </c>
      <c r="AI9" s="206">
        <f>VLOOKUP(B:B,[1]Sheet8!$G$1:$H$65536,2,0)</f>
        <v>7</v>
      </c>
      <c r="AJ9" s="206">
        <f t="shared" si="7"/>
        <v>42</v>
      </c>
      <c r="AK9" s="196">
        <f t="shared" si="8"/>
        <v>-11</v>
      </c>
      <c r="AL9" s="196">
        <f t="shared" si="9"/>
        <v>-11</v>
      </c>
      <c r="AM9" s="196"/>
      <c r="AN9" s="196">
        <f>AK9*1</f>
        <v>-11</v>
      </c>
      <c r="AO9" s="210">
        <v>277.2</v>
      </c>
      <c r="AP9" s="210">
        <v>304.92</v>
      </c>
      <c r="AQ9" s="210">
        <v>332.64</v>
      </c>
      <c r="AR9" s="210">
        <v>1</v>
      </c>
      <c r="AS9" s="210">
        <v>277.2</v>
      </c>
      <c r="AT9" s="188">
        <f>VLOOKUP(B:B,[1]Sheet10!$F$1:$G$65536,2,0)</f>
        <v>136.05000000000001</v>
      </c>
      <c r="AU9" s="188">
        <f>VLOOKUP(B:B,[1]Sheet12!$G$1:$H$65536,2,0)</f>
        <v>149</v>
      </c>
      <c r="AV9" s="188">
        <f t="shared" si="10"/>
        <v>285.05</v>
      </c>
      <c r="AW9" s="188">
        <f t="shared" si="11"/>
        <v>7.8500000000000201</v>
      </c>
      <c r="AX9" s="188">
        <f t="shared" si="12"/>
        <v>7.8500000000000201</v>
      </c>
      <c r="AY9" s="166">
        <f>AT9*0.05+AU9*0.03</f>
        <v>11.272500000000001</v>
      </c>
      <c r="AZ9" s="210"/>
      <c r="BA9" s="188">
        <f>VLOOKUP(B:B,[6]查询时间段分门店销售明细!$B$1:$X$65536,23,0)</f>
        <v>2895.43</v>
      </c>
      <c r="BB9" s="188">
        <f>VLOOKUP(B:B,[1]Sheet14!$G$1:$I$65536,3,0)</f>
        <v>2741.2</v>
      </c>
      <c r="BC9" s="188">
        <v>24.49</v>
      </c>
      <c r="BD9" s="188">
        <f t="shared" si="13"/>
        <v>2765.69</v>
      </c>
      <c r="BE9" s="188">
        <f t="shared" si="14"/>
        <v>-129.74</v>
      </c>
      <c r="BF9" s="188">
        <f t="shared" si="15"/>
        <v>274.85469999999998</v>
      </c>
      <c r="BG9" s="210">
        <f>BE9*0.03</f>
        <v>-3.8922000000000101</v>
      </c>
      <c r="BH9" s="210">
        <v>1076.4000000000001</v>
      </c>
      <c r="BI9" s="210">
        <v>1184.04</v>
      </c>
      <c r="BJ9" s="210">
        <v>1291.68</v>
      </c>
      <c r="BK9" s="210">
        <v>1</v>
      </c>
      <c r="BL9" s="210">
        <v>1076.4000000000001</v>
      </c>
      <c r="BM9" s="188">
        <f>VLOOKUP(B:B,[1]Sheet17!$E$1:$F$65536,2,0)</f>
        <v>2225.79</v>
      </c>
      <c r="BN9" s="188">
        <f t="shared" si="16"/>
        <v>1149.3900000000001</v>
      </c>
      <c r="BO9" s="188">
        <f t="shared" si="17"/>
        <v>1149.3900000000001</v>
      </c>
      <c r="BP9" s="188">
        <f t="shared" si="2"/>
        <v>333.86849999999998</v>
      </c>
      <c r="BQ9" s="210"/>
      <c r="BR9" s="210">
        <v>15384.6</v>
      </c>
      <c r="BS9" s="210">
        <v>16923.060000000001</v>
      </c>
      <c r="BT9" s="210">
        <v>18461.52</v>
      </c>
      <c r="BU9" s="210">
        <v>1</v>
      </c>
      <c r="BV9" s="210">
        <v>15384.6</v>
      </c>
      <c r="BW9" s="188">
        <f>VLOOKUP(B:B,[2]Sheet1!$G$1:$H$65536,2,0)</f>
        <v>9371.2199999999993</v>
      </c>
      <c r="BX9" s="188">
        <f t="shared" si="18"/>
        <v>-6013.38</v>
      </c>
      <c r="BY9" s="188">
        <f t="shared" si="19"/>
        <v>-6013.38</v>
      </c>
      <c r="BZ9" s="166">
        <f t="shared" si="24"/>
        <v>749.69759999999997</v>
      </c>
      <c r="CA9" s="174">
        <f>BX9*0.05</f>
        <v>-300.66899999999998</v>
      </c>
      <c r="CB9" s="188">
        <f t="shared" si="20"/>
        <v>1670.8426999999999</v>
      </c>
      <c r="CC9" s="218">
        <f>VLOOKUP(B:B,[3]门店完成率!$A:$Y,25,0)</f>
        <v>1.00591705069124</v>
      </c>
      <c r="CD9" s="166">
        <f>CB9</f>
        <v>1670.8426999999999</v>
      </c>
      <c r="CE9" s="188">
        <f t="shared" si="21"/>
        <v>1670.84</v>
      </c>
      <c r="CF9" s="188">
        <f t="shared" si="22"/>
        <v>-315.56119999999999</v>
      </c>
      <c r="CG9" s="188">
        <f t="shared" si="23"/>
        <v>-315.56</v>
      </c>
    </row>
    <row r="10" spans="1:241" s="152" customFormat="1" ht="12.95" customHeight="1">
      <c r="A10" s="164">
        <v>8</v>
      </c>
      <c r="B10" s="166">
        <v>721</v>
      </c>
      <c r="C10" s="166" t="s">
        <v>52</v>
      </c>
      <c r="D10" s="166" t="s">
        <v>45</v>
      </c>
      <c r="E10" s="165">
        <v>2</v>
      </c>
      <c r="F10" s="165">
        <v>3</v>
      </c>
      <c r="G10" s="165">
        <v>4</v>
      </c>
      <c r="H10" s="165">
        <v>1</v>
      </c>
      <c r="I10" s="165">
        <v>2</v>
      </c>
      <c r="J10" s="165">
        <v>0</v>
      </c>
      <c r="K10" s="165">
        <v>0</v>
      </c>
      <c r="L10" s="165">
        <v>0</v>
      </c>
      <c r="M10" s="165">
        <v>0</v>
      </c>
      <c r="N10" s="165">
        <f t="shared" si="3"/>
        <v>-2</v>
      </c>
      <c r="O10" s="165">
        <f t="shared" si="4"/>
        <v>-2</v>
      </c>
      <c r="P10" s="165">
        <f>K10*70+L10*15+M10*40</f>
        <v>0</v>
      </c>
      <c r="Q10" s="165">
        <f>N10*15</f>
        <v>-30</v>
      </c>
      <c r="R10" s="188">
        <v>2111</v>
      </c>
      <c r="S10" s="189">
        <v>2322.1</v>
      </c>
      <c r="T10" s="189">
        <v>2533.1999999999998</v>
      </c>
      <c r="U10" s="189">
        <v>1</v>
      </c>
      <c r="V10" s="188">
        <v>2111</v>
      </c>
      <c r="W10" s="188">
        <f>VLOOKUP(B:B,[1]Sheet1!$F$1:$G$65536,2,0)</f>
        <v>1346.96</v>
      </c>
      <c r="X10" s="188">
        <f t="shared" si="5"/>
        <v>-764.04</v>
      </c>
      <c r="Y10" s="188">
        <f t="shared" si="6"/>
        <v>-764.04</v>
      </c>
      <c r="Z10" s="188"/>
      <c r="AA10" s="197">
        <f>X10*0.05</f>
        <v>-38.201999999999998</v>
      </c>
      <c r="AB10" s="165">
        <v>86</v>
      </c>
      <c r="AC10" s="195">
        <v>95</v>
      </c>
      <c r="AD10" s="195">
        <v>103</v>
      </c>
      <c r="AE10" s="164">
        <v>3</v>
      </c>
      <c r="AF10" s="196">
        <v>103</v>
      </c>
      <c r="AG10" s="206">
        <f>VLOOKUP(B:B,[1]Sheet3!$G$1:$H$65536,2,0)</f>
        <v>65</v>
      </c>
      <c r="AH10" s="206">
        <f>VLOOKUP(B:B,[1]Sheet5!$E$1:$F$65536,2,0)</f>
        <v>11</v>
      </c>
      <c r="AI10" s="206">
        <f>VLOOKUP(B:B,[1]Sheet8!$G$1:$H$65536,2,0)</f>
        <v>105</v>
      </c>
      <c r="AJ10" s="206">
        <f t="shared" si="7"/>
        <v>181</v>
      </c>
      <c r="AK10" s="196">
        <f t="shared" si="8"/>
        <v>95</v>
      </c>
      <c r="AL10" s="196">
        <f t="shared" si="9"/>
        <v>78</v>
      </c>
      <c r="AM10" s="196">
        <f>AG10*2.5+AH10*1.5+AI10*4</f>
        <v>599</v>
      </c>
      <c r="AN10" s="196"/>
      <c r="AO10" s="166">
        <v>411.3</v>
      </c>
      <c r="AP10" s="166">
        <v>452.43</v>
      </c>
      <c r="AQ10" s="166">
        <v>493.56</v>
      </c>
      <c r="AR10" s="166">
        <v>1</v>
      </c>
      <c r="AS10" s="166">
        <v>411.3</v>
      </c>
      <c r="AT10" s="188">
        <f>VLOOKUP(B:B,[1]Sheet10!$F$1:$G$65536,2,0)</f>
        <v>530.75</v>
      </c>
      <c r="AU10" s="188">
        <f>VLOOKUP(B:B,[1]Sheet12!$G$1:$H$65536,2,0)</f>
        <v>148</v>
      </c>
      <c r="AV10" s="188">
        <f t="shared" si="10"/>
        <v>678.75</v>
      </c>
      <c r="AW10" s="188">
        <f t="shared" si="11"/>
        <v>267.45</v>
      </c>
      <c r="AX10" s="188">
        <f t="shared" si="12"/>
        <v>267.45</v>
      </c>
      <c r="AY10" s="166">
        <f>AT10*0.05+AU10*0.03</f>
        <v>30.977499999999999</v>
      </c>
      <c r="AZ10" s="166"/>
      <c r="BA10" s="188">
        <f>VLOOKUP(B:B,[6]查询时间段分门店销售明细!$B$1:$X$65536,23,0)</f>
        <v>17980.599999999999</v>
      </c>
      <c r="BB10" s="188">
        <f>VLOOKUP(B:B,[1]Sheet14!$G$1:$I$65536,3,0)</f>
        <v>8966.3999999999905</v>
      </c>
      <c r="BC10" s="188">
        <v>0</v>
      </c>
      <c r="BD10" s="188">
        <f t="shared" si="13"/>
        <v>8966.3999999999905</v>
      </c>
      <c r="BE10" s="188">
        <f t="shared" si="14"/>
        <v>-9014.2000000000098</v>
      </c>
      <c r="BF10" s="188">
        <f t="shared" si="15"/>
        <v>896.63999999999896</v>
      </c>
      <c r="BG10" s="210">
        <f>BE10*0.03</f>
        <v>-270.42599999999999</v>
      </c>
      <c r="BH10" s="166">
        <v>1379.52</v>
      </c>
      <c r="BI10" s="166">
        <v>1517.472</v>
      </c>
      <c r="BJ10" s="166">
        <v>1655.424</v>
      </c>
      <c r="BK10" s="166">
        <v>1</v>
      </c>
      <c r="BL10" s="166">
        <v>1379.52</v>
      </c>
      <c r="BM10" s="188">
        <f>VLOOKUP(B:B,[1]Sheet17!$E$1:$F$65536,2,0)</f>
        <v>984.42</v>
      </c>
      <c r="BN10" s="188">
        <f t="shared" si="16"/>
        <v>-395.1</v>
      </c>
      <c r="BO10" s="188">
        <f t="shared" si="17"/>
        <v>-395.1</v>
      </c>
      <c r="BP10" s="188">
        <f t="shared" si="2"/>
        <v>147.66300000000001</v>
      </c>
      <c r="BQ10" s="188">
        <f>BN10*0.05</f>
        <v>-19.754999999999999</v>
      </c>
      <c r="BR10" s="166">
        <v>15564.6</v>
      </c>
      <c r="BS10" s="166">
        <v>17121.060000000001</v>
      </c>
      <c r="BT10" s="166">
        <v>18677.52</v>
      </c>
      <c r="BU10" s="166">
        <v>1</v>
      </c>
      <c r="BV10" s="166">
        <v>15564.6</v>
      </c>
      <c r="BW10" s="188">
        <f>VLOOKUP(B:B,[2]Sheet1!$G$1:$H$65536,2,0)</f>
        <v>13900.8</v>
      </c>
      <c r="BX10" s="188">
        <f t="shared" si="18"/>
        <v>-1663.8</v>
      </c>
      <c r="BY10" s="188">
        <f t="shared" si="19"/>
        <v>-1663.8</v>
      </c>
      <c r="BZ10" s="166">
        <f t="shared" si="24"/>
        <v>1112.0640000000001</v>
      </c>
      <c r="CA10" s="174">
        <f>BX10*0.05</f>
        <v>-83.190000000000097</v>
      </c>
      <c r="CB10" s="188">
        <f t="shared" si="20"/>
        <v>2786.3445000000002</v>
      </c>
      <c r="CC10" s="218">
        <f>VLOOKUP(B:B,[3]门店完成率!$A:$Y,25,0)</f>
        <v>0.91899050868486298</v>
      </c>
      <c r="CD10" s="188">
        <f>CB10*0.5+CB10*0.5*CC10</f>
        <v>2673.4843247131298</v>
      </c>
      <c r="CE10" s="188">
        <f t="shared" si="21"/>
        <v>2673.48</v>
      </c>
      <c r="CF10" s="188">
        <f t="shared" si="22"/>
        <v>-441.57299999999998</v>
      </c>
      <c r="CG10" s="188">
        <f t="shared" si="23"/>
        <v>-441.57</v>
      </c>
    </row>
    <row r="11" spans="1:241" s="151" customFormat="1" ht="12">
      <c r="A11" s="164">
        <v>9</v>
      </c>
      <c r="B11" s="164">
        <v>732</v>
      </c>
      <c r="C11" s="164" t="s">
        <v>53</v>
      </c>
      <c r="D11" s="164" t="s">
        <v>45</v>
      </c>
      <c r="E11" s="165">
        <v>1</v>
      </c>
      <c r="F11" s="165">
        <v>2</v>
      </c>
      <c r="G11" s="165">
        <v>3</v>
      </c>
      <c r="H11" s="165">
        <v>1</v>
      </c>
      <c r="I11" s="165">
        <v>1</v>
      </c>
      <c r="J11" s="165">
        <v>0</v>
      </c>
      <c r="K11" s="165">
        <v>0</v>
      </c>
      <c r="L11" s="165">
        <v>0</v>
      </c>
      <c r="M11" s="165">
        <v>0</v>
      </c>
      <c r="N11" s="165">
        <f t="shared" si="3"/>
        <v>-1</v>
      </c>
      <c r="O11" s="165">
        <f t="shared" si="4"/>
        <v>-1</v>
      </c>
      <c r="P11" s="165">
        <f>K11*70+L11*15+M11*40</f>
        <v>0</v>
      </c>
      <c r="Q11" s="165">
        <f>N11*15</f>
        <v>-15</v>
      </c>
      <c r="R11" s="188">
        <v>2366</v>
      </c>
      <c r="S11" s="189">
        <v>2602.6</v>
      </c>
      <c r="T11" s="189">
        <v>2839.2</v>
      </c>
      <c r="U11" s="189">
        <v>1</v>
      </c>
      <c r="V11" s="188">
        <v>2366</v>
      </c>
      <c r="W11" s="188">
        <f>VLOOKUP(B:B,[1]Sheet1!$F$1:$G$65536,2,0)</f>
        <v>1243.5</v>
      </c>
      <c r="X11" s="188">
        <f t="shared" si="5"/>
        <v>-1122.5</v>
      </c>
      <c r="Y11" s="188">
        <f t="shared" si="6"/>
        <v>-1122.5</v>
      </c>
      <c r="Z11" s="188"/>
      <c r="AA11" s="197">
        <f>X11*0.05</f>
        <v>-56.125</v>
      </c>
      <c r="AB11" s="165">
        <v>48</v>
      </c>
      <c r="AC11" s="195">
        <v>53</v>
      </c>
      <c r="AD11" s="195">
        <v>58</v>
      </c>
      <c r="AE11" s="164">
        <v>3</v>
      </c>
      <c r="AF11" s="196">
        <v>58</v>
      </c>
      <c r="AG11" s="206">
        <f>VLOOKUP(B:B,[1]Sheet3!$G$1:$H$65536,2,0)</f>
        <v>36</v>
      </c>
      <c r="AH11" s="206">
        <f>VLOOKUP(B:B,[1]Sheet5!$E$1:$F$65536,2,0)</f>
        <v>8</v>
      </c>
      <c r="AI11" s="206">
        <f>VLOOKUP(B:B,[1]Sheet8!$G$1:$H$65536,2,0)</f>
        <v>17</v>
      </c>
      <c r="AJ11" s="206">
        <f t="shared" si="7"/>
        <v>61</v>
      </c>
      <c r="AK11" s="196">
        <f t="shared" si="8"/>
        <v>13</v>
      </c>
      <c r="AL11" s="196">
        <f t="shared" si="9"/>
        <v>3</v>
      </c>
      <c r="AM11" s="196">
        <f>AG11*2.5+AH11*1.5+AI11*4</f>
        <v>170</v>
      </c>
      <c r="AN11" s="196"/>
      <c r="AO11" s="188">
        <v>290.7</v>
      </c>
      <c r="AP11" s="188">
        <v>319.77</v>
      </c>
      <c r="AQ11" s="188">
        <v>348.84</v>
      </c>
      <c r="AR11" s="188">
        <v>1</v>
      </c>
      <c r="AS11" s="188">
        <v>290.7</v>
      </c>
      <c r="AT11" s="188">
        <f>VLOOKUP(B:B,[1]Sheet10!$F$1:$G$65536,2,0)</f>
        <v>53.8</v>
      </c>
      <c r="AU11" s="188">
        <f>VLOOKUP(B:B,[1]Sheet12!$G$1:$H$65536,2,0)</f>
        <v>38</v>
      </c>
      <c r="AV11" s="188">
        <f t="shared" si="10"/>
        <v>91.8</v>
      </c>
      <c r="AW11" s="188">
        <f t="shared" si="11"/>
        <v>-198.9</v>
      </c>
      <c r="AX11" s="188">
        <f t="shared" si="12"/>
        <v>-198.9</v>
      </c>
      <c r="AY11" s="188"/>
      <c r="AZ11" s="188">
        <f>AW11*0.04</f>
        <v>-7.9560000000000004</v>
      </c>
      <c r="BA11" s="188">
        <f>VLOOKUP(B:B,[4]查询时间段分门店销售明细!$B$1:$X$65536,23,0)</f>
        <v>12551</v>
      </c>
      <c r="BB11" s="188">
        <f>VLOOKUP(B:B,[1]Sheet14!$G$1:$I$65536,3,0)</f>
        <v>7482.13</v>
      </c>
      <c r="BC11" s="188">
        <v>0</v>
      </c>
      <c r="BD11" s="188">
        <f t="shared" si="13"/>
        <v>7482.13</v>
      </c>
      <c r="BE11" s="188">
        <f t="shared" si="14"/>
        <v>-5068.87</v>
      </c>
      <c r="BF11" s="188">
        <f t="shared" si="15"/>
        <v>748.21299999999997</v>
      </c>
      <c r="BG11" s="210">
        <f>BE11*0.03</f>
        <v>-152.06610000000001</v>
      </c>
      <c r="BH11" s="188">
        <v>827.28</v>
      </c>
      <c r="BI11" s="188">
        <v>910.00800000000004</v>
      </c>
      <c r="BJ11" s="188">
        <v>992.73599999999999</v>
      </c>
      <c r="BK11" s="188">
        <v>1</v>
      </c>
      <c r="BL11" s="188">
        <v>827.28</v>
      </c>
      <c r="BM11" s="188">
        <f>VLOOKUP(B:B,[1]Sheet17!$E$1:$F$65536,2,0)</f>
        <v>755.6</v>
      </c>
      <c r="BN11" s="188">
        <f t="shared" si="16"/>
        <v>-71.679999999999893</v>
      </c>
      <c r="BO11" s="188">
        <f t="shared" si="17"/>
        <v>-71.679999999999893</v>
      </c>
      <c r="BP11" s="188">
        <f t="shared" si="2"/>
        <v>113.34</v>
      </c>
      <c r="BQ11" s="188">
        <f>BN11*0.05</f>
        <v>-3.5840000000000001</v>
      </c>
      <c r="BR11" s="188">
        <v>7065</v>
      </c>
      <c r="BS11" s="188">
        <v>7771.5</v>
      </c>
      <c r="BT11" s="188">
        <v>8478</v>
      </c>
      <c r="BU11" s="188">
        <v>2</v>
      </c>
      <c r="BV11" s="188">
        <v>7771.5</v>
      </c>
      <c r="BW11" s="188">
        <f>VLOOKUP(B:B,[2]Sheet1!$G$1:$H$65536,2,0)</f>
        <v>5805.43</v>
      </c>
      <c r="BX11" s="188">
        <f t="shared" si="18"/>
        <v>-1259.57</v>
      </c>
      <c r="BY11" s="188">
        <f t="shared" si="19"/>
        <v>-1966.07</v>
      </c>
      <c r="BZ11" s="166">
        <f t="shared" si="24"/>
        <v>464.43439999999998</v>
      </c>
      <c r="CA11" s="174">
        <f>BX11*0.05</f>
        <v>-62.978499999999997</v>
      </c>
      <c r="CB11" s="188">
        <f t="shared" si="20"/>
        <v>1495.9874</v>
      </c>
      <c r="CC11" s="218">
        <f>VLOOKUP(B:B,[3]门店完成率!$A:$Y,25,0)</f>
        <v>0.79762147707979603</v>
      </c>
      <c r="CD11" s="188">
        <f>CB11*0.5+CB11*0.5*CC11</f>
        <v>1344.60953984038</v>
      </c>
      <c r="CE11" s="188">
        <f t="shared" si="21"/>
        <v>1344.61</v>
      </c>
      <c r="CF11" s="188">
        <f t="shared" si="22"/>
        <v>-297.70960000000002</v>
      </c>
      <c r="CG11" s="188">
        <f t="shared" si="23"/>
        <v>-297.70999999999998</v>
      </c>
      <c r="CH11" s="219"/>
      <c r="CI11" s="219"/>
      <c r="CJ11" s="219"/>
      <c r="CK11" s="219"/>
      <c r="CL11" s="219"/>
      <c r="CM11" s="219"/>
      <c r="CN11" s="219"/>
      <c r="CO11" s="219"/>
      <c r="CP11" s="219"/>
      <c r="CQ11" s="219"/>
      <c r="CR11" s="219"/>
      <c r="CS11" s="219"/>
      <c r="CT11" s="219"/>
      <c r="CU11" s="219"/>
      <c r="CV11" s="219"/>
      <c r="CW11" s="219"/>
      <c r="CX11" s="219"/>
      <c r="CY11" s="219"/>
      <c r="CZ11" s="219"/>
      <c r="DA11" s="219"/>
      <c r="DB11" s="219"/>
      <c r="DC11" s="219"/>
      <c r="DD11" s="219"/>
      <c r="DE11" s="219"/>
      <c r="DF11" s="219"/>
      <c r="DG11" s="219"/>
      <c r="DH11" s="219"/>
      <c r="DI11" s="219"/>
      <c r="DJ11" s="219"/>
      <c r="DK11" s="219"/>
      <c r="DL11" s="219"/>
      <c r="DM11" s="219"/>
      <c r="DN11" s="219"/>
      <c r="DO11" s="219"/>
      <c r="DP11" s="219"/>
      <c r="DQ11" s="219"/>
      <c r="DR11" s="219"/>
      <c r="DS11" s="219"/>
      <c r="DT11" s="219"/>
      <c r="DU11" s="219"/>
      <c r="DV11" s="219"/>
      <c r="DW11" s="219"/>
      <c r="DX11" s="219"/>
      <c r="DY11" s="219"/>
      <c r="DZ11" s="219"/>
      <c r="EA11" s="219"/>
      <c r="EB11" s="219"/>
      <c r="EC11" s="219"/>
      <c r="ED11" s="219"/>
      <c r="EE11" s="219"/>
      <c r="EF11" s="219"/>
      <c r="EG11" s="219"/>
      <c r="EH11" s="219"/>
      <c r="EI11" s="219"/>
      <c r="EJ11" s="219"/>
      <c r="EK11" s="219"/>
      <c r="EL11" s="219"/>
      <c r="EM11" s="219"/>
      <c r="EN11" s="219"/>
      <c r="EO11" s="219"/>
      <c r="EP11" s="219"/>
      <c r="EQ11" s="219"/>
      <c r="ER11" s="219"/>
      <c r="ES11" s="219"/>
      <c r="ET11" s="219"/>
      <c r="EU11" s="219"/>
      <c r="EV11" s="219"/>
      <c r="EW11" s="219"/>
      <c r="EX11" s="219"/>
      <c r="EY11" s="219"/>
      <c r="EZ11" s="219"/>
      <c r="FA11" s="219"/>
      <c r="FB11" s="219"/>
      <c r="FC11" s="219"/>
      <c r="FD11" s="219"/>
      <c r="FE11" s="219"/>
      <c r="FF11" s="219"/>
      <c r="FG11" s="219"/>
      <c r="FH11" s="219"/>
      <c r="FI11" s="219"/>
      <c r="FJ11" s="219"/>
      <c r="FK11" s="219"/>
      <c r="FL11" s="219"/>
      <c r="FM11" s="219"/>
      <c r="FN11" s="219"/>
      <c r="FO11" s="219"/>
      <c r="FP11" s="219"/>
      <c r="FQ11" s="219"/>
      <c r="FR11" s="219"/>
      <c r="FS11" s="219"/>
      <c r="FT11" s="219"/>
      <c r="FU11" s="219"/>
      <c r="FV11" s="219"/>
      <c r="FW11" s="219"/>
      <c r="FX11" s="219"/>
      <c r="FY11" s="219"/>
      <c r="FZ11" s="219"/>
      <c r="GA11" s="219"/>
      <c r="GB11" s="219"/>
      <c r="GC11" s="219"/>
      <c r="GD11" s="219"/>
      <c r="GE11" s="219"/>
      <c r="GF11" s="219"/>
      <c r="GG11" s="219"/>
      <c r="GH11" s="219"/>
      <c r="GI11" s="219"/>
      <c r="GJ11" s="219"/>
      <c r="GK11" s="219"/>
      <c r="GL11" s="219"/>
      <c r="GM11" s="219"/>
      <c r="GN11" s="219"/>
      <c r="GO11" s="219"/>
      <c r="GP11" s="219"/>
      <c r="GQ11" s="219"/>
      <c r="GR11" s="219"/>
      <c r="GS11" s="219"/>
      <c r="GT11" s="219"/>
      <c r="GU11" s="219"/>
      <c r="GV11" s="219"/>
      <c r="GW11" s="219"/>
      <c r="GX11" s="219"/>
      <c r="GY11" s="219"/>
      <c r="GZ11" s="219"/>
      <c r="HA11" s="219"/>
      <c r="HB11" s="219"/>
      <c r="HC11" s="219"/>
    </row>
    <row r="12" spans="1:241" s="152" customFormat="1" ht="12.95" customHeight="1">
      <c r="A12" s="164">
        <v>10</v>
      </c>
      <c r="B12" s="166">
        <v>591</v>
      </c>
      <c r="C12" s="166" t="s">
        <v>54</v>
      </c>
      <c r="D12" s="166" t="s">
        <v>45</v>
      </c>
      <c r="E12" s="165">
        <v>3</v>
      </c>
      <c r="F12" s="165">
        <v>4</v>
      </c>
      <c r="G12" s="165">
        <v>5</v>
      </c>
      <c r="H12" s="165">
        <v>1</v>
      </c>
      <c r="I12" s="165">
        <v>3</v>
      </c>
      <c r="J12" s="165">
        <v>0</v>
      </c>
      <c r="K12" s="165">
        <v>0</v>
      </c>
      <c r="L12" s="165">
        <v>0</v>
      </c>
      <c r="M12" s="165">
        <v>0</v>
      </c>
      <c r="N12" s="165">
        <f t="shared" si="3"/>
        <v>-3</v>
      </c>
      <c r="O12" s="165">
        <f t="shared" si="4"/>
        <v>-3</v>
      </c>
      <c r="P12" s="165">
        <f>K12*70+L12*15+M12*40</f>
        <v>0</v>
      </c>
      <c r="Q12" s="165">
        <f>N12*15</f>
        <v>-45</v>
      </c>
      <c r="R12" s="188">
        <v>1860</v>
      </c>
      <c r="S12" s="189">
        <v>2046</v>
      </c>
      <c r="T12" s="189">
        <v>2232</v>
      </c>
      <c r="U12" s="189">
        <v>3</v>
      </c>
      <c r="V12" s="188">
        <v>2232</v>
      </c>
      <c r="W12" s="188">
        <f>VLOOKUP(B:B,[1]Sheet1!$F$1:$G$65536,2,0)</f>
        <v>2255.1999999999998</v>
      </c>
      <c r="X12" s="188">
        <f t="shared" si="5"/>
        <v>395.2</v>
      </c>
      <c r="Y12" s="188">
        <f t="shared" si="6"/>
        <v>23.1999999999998</v>
      </c>
      <c r="Z12" s="188">
        <f>W12*0.11</f>
        <v>248.072</v>
      </c>
      <c r="AA12" s="188"/>
      <c r="AB12" s="165">
        <v>71</v>
      </c>
      <c r="AC12" s="195">
        <v>78</v>
      </c>
      <c r="AD12" s="195">
        <v>85</v>
      </c>
      <c r="AE12" s="164">
        <v>3</v>
      </c>
      <c r="AF12" s="196">
        <v>85</v>
      </c>
      <c r="AG12" s="206">
        <f>VLOOKUP(B:B,[1]Sheet3!$G$1:$H$65536,2,0)</f>
        <v>37</v>
      </c>
      <c r="AH12" s="206">
        <f>VLOOKUP(B:B,[1]Sheet5!$E$1:$F$65536,2,0)</f>
        <v>8</v>
      </c>
      <c r="AI12" s="206">
        <f>VLOOKUP(B:B,[1]Sheet8!$G$1:$H$65536,2,0)</f>
        <v>85</v>
      </c>
      <c r="AJ12" s="206">
        <f t="shared" si="7"/>
        <v>130</v>
      </c>
      <c r="AK12" s="196">
        <f t="shared" si="8"/>
        <v>59</v>
      </c>
      <c r="AL12" s="196">
        <f t="shared" si="9"/>
        <v>45</v>
      </c>
      <c r="AM12" s="196">
        <f>AG12*2.5+AH12*1.5+AI12*4</f>
        <v>444.5</v>
      </c>
      <c r="AN12" s="196"/>
      <c r="AO12" s="166">
        <v>386.1</v>
      </c>
      <c r="AP12" s="166">
        <v>424.71</v>
      </c>
      <c r="AQ12" s="166">
        <v>463.32</v>
      </c>
      <c r="AR12" s="166">
        <v>1</v>
      </c>
      <c r="AS12" s="166">
        <v>386.1</v>
      </c>
      <c r="AT12" s="188">
        <f>VLOOKUP(B:B,[1]Sheet10!$F$1:$G$65536,2,0)</f>
        <v>421.3</v>
      </c>
      <c r="AU12" s="188">
        <f>VLOOKUP(B:B,[1]Sheet12!$G$1:$H$65536,2,0)</f>
        <v>151</v>
      </c>
      <c r="AV12" s="188">
        <f t="shared" si="10"/>
        <v>572.29999999999995</v>
      </c>
      <c r="AW12" s="188">
        <f t="shared" si="11"/>
        <v>186.2</v>
      </c>
      <c r="AX12" s="188">
        <f t="shared" si="12"/>
        <v>186.2</v>
      </c>
      <c r="AY12" s="166">
        <f>AT12*0.05+AU12*0.03</f>
        <v>25.594999999999999</v>
      </c>
      <c r="AZ12" s="166"/>
      <c r="BA12" s="188">
        <f>VLOOKUP(B:B,[4]查询时间段分门店销售明细!$B$1:$X$65536,23,0)</f>
        <v>6460</v>
      </c>
      <c r="BB12" s="188">
        <f>VLOOKUP(B:B,[1]Sheet14!$G$1:$I$65536,3,0)</f>
        <v>4531.3000000000102</v>
      </c>
      <c r="BC12" s="188">
        <v>10.71</v>
      </c>
      <c r="BD12" s="188">
        <f t="shared" si="13"/>
        <v>4542.0100000000102</v>
      </c>
      <c r="BE12" s="188">
        <f t="shared" si="14"/>
        <v>-1917.98999999999</v>
      </c>
      <c r="BF12" s="188">
        <f t="shared" si="15"/>
        <v>453.45130000000103</v>
      </c>
      <c r="BG12" s="210">
        <f>BE12*0.03</f>
        <v>-57.539699999999698</v>
      </c>
      <c r="BH12" s="166">
        <v>1239.1199999999999</v>
      </c>
      <c r="BI12" s="166">
        <v>1363.0319999999999</v>
      </c>
      <c r="BJ12" s="166">
        <v>1486.944</v>
      </c>
      <c r="BK12" s="166">
        <v>2</v>
      </c>
      <c r="BL12" s="166">
        <v>1363.02</v>
      </c>
      <c r="BM12" s="188">
        <f>VLOOKUP(B:B,[1]Sheet17!$E$1:$F$65536,2,0)</f>
        <v>1490.92</v>
      </c>
      <c r="BN12" s="188">
        <f t="shared" si="16"/>
        <v>251.8</v>
      </c>
      <c r="BO12" s="188">
        <f t="shared" si="17"/>
        <v>127.9</v>
      </c>
      <c r="BP12" s="188">
        <f>BM12*0.2</f>
        <v>298.18400000000003</v>
      </c>
      <c r="BQ12" s="166"/>
      <c r="BR12" s="166">
        <v>10089.9</v>
      </c>
      <c r="BS12" s="166">
        <v>11098.89</v>
      </c>
      <c r="BT12" s="166">
        <v>12107.88</v>
      </c>
      <c r="BU12" s="166">
        <v>3</v>
      </c>
      <c r="BV12" s="166">
        <v>12107.88</v>
      </c>
      <c r="BW12" s="188">
        <f>VLOOKUP(B:B,[2]Sheet1!$G$1:$H$65536,2,0)</f>
        <v>9885.74</v>
      </c>
      <c r="BX12" s="188">
        <f t="shared" si="18"/>
        <v>-204.16</v>
      </c>
      <c r="BY12" s="188">
        <f t="shared" si="19"/>
        <v>-2222.14</v>
      </c>
      <c r="BZ12" s="166">
        <f t="shared" si="24"/>
        <v>790.85919999999999</v>
      </c>
      <c r="CA12" s="174">
        <f>BX12*0.05</f>
        <v>-10.208</v>
      </c>
      <c r="CB12" s="188">
        <f t="shared" si="20"/>
        <v>2260.6615000000002</v>
      </c>
      <c r="CC12" s="218">
        <f>VLOOKUP(B:B,[3]门店完成率!$A:$Y,25,0)</f>
        <v>0.95276989247311805</v>
      </c>
      <c r="CD12" s="188">
        <f>CB12*0.5+CB12*0.5*CC12</f>
        <v>2207.2758571365598</v>
      </c>
      <c r="CE12" s="188">
        <f t="shared" si="21"/>
        <v>2207.2800000000002</v>
      </c>
      <c r="CF12" s="188">
        <f t="shared" si="22"/>
        <v>-112.74769999999999</v>
      </c>
      <c r="CG12" s="188">
        <f t="shared" si="23"/>
        <v>-112.75</v>
      </c>
    </row>
    <row r="13" spans="1:241" s="152" customFormat="1" ht="12.95" customHeight="1">
      <c r="A13" s="164">
        <v>11</v>
      </c>
      <c r="B13" s="166">
        <v>341</v>
      </c>
      <c r="C13" s="166" t="s">
        <v>55</v>
      </c>
      <c r="D13" s="166" t="s">
        <v>45</v>
      </c>
      <c r="E13" s="165">
        <v>5</v>
      </c>
      <c r="F13" s="165">
        <v>6</v>
      </c>
      <c r="G13" s="165">
        <v>7</v>
      </c>
      <c r="H13" s="165">
        <v>1</v>
      </c>
      <c r="I13" s="165">
        <v>5</v>
      </c>
      <c r="J13" s="165">
        <v>7.5359999999999996</v>
      </c>
      <c r="K13" s="165">
        <f>VLOOKUP(B:B,[5]Sheet1!$I$1:$K$65536,3,0)</f>
        <v>3.536</v>
      </c>
      <c r="L13" s="165">
        <f>VLOOKUP(B:B,[5]Sheet1!$I$1:$M$65536,5,0)</f>
        <v>4</v>
      </c>
      <c r="M13" s="165">
        <f>VLOOKUP(B:B,[5]Sheet1!$I$1:$N$65536,6,0)</f>
        <v>0</v>
      </c>
      <c r="N13" s="165">
        <f t="shared" si="3"/>
        <v>2.536</v>
      </c>
      <c r="O13" s="165">
        <f t="shared" si="4"/>
        <v>2.536</v>
      </c>
      <c r="P13" s="165">
        <f>K13*90+L13*15+M13*40</f>
        <v>378.24</v>
      </c>
      <c r="Q13" s="165"/>
      <c r="R13" s="188">
        <v>12475</v>
      </c>
      <c r="S13" s="189">
        <v>13722.5</v>
      </c>
      <c r="T13" s="189">
        <v>14970</v>
      </c>
      <c r="U13" s="189">
        <v>2</v>
      </c>
      <c r="V13" s="188">
        <v>13722.5</v>
      </c>
      <c r="W13" s="188">
        <f>VLOOKUP(B:B,[1]Sheet1!$F$1:$G$65536,2,0)</f>
        <v>15608.58</v>
      </c>
      <c r="X13" s="188">
        <f t="shared" si="5"/>
        <v>3133.58</v>
      </c>
      <c r="Y13" s="188">
        <f t="shared" si="6"/>
        <v>1886.08</v>
      </c>
      <c r="Z13" s="188">
        <f>W13*0.09</f>
        <v>1404.7722000000001</v>
      </c>
      <c r="AA13" s="188"/>
      <c r="AB13" s="165">
        <v>167</v>
      </c>
      <c r="AC13" s="195">
        <v>184</v>
      </c>
      <c r="AD13" s="195">
        <v>200</v>
      </c>
      <c r="AE13" s="164">
        <v>2</v>
      </c>
      <c r="AF13" s="196">
        <v>184</v>
      </c>
      <c r="AG13" s="206">
        <f>VLOOKUP(B:B,[1]Sheet3!$G$1:$H$65536,2,0)</f>
        <v>27</v>
      </c>
      <c r="AH13" s="206">
        <f>VLOOKUP(B:B,[1]Sheet5!$E$1:$F$65536,2,0)</f>
        <v>4</v>
      </c>
      <c r="AI13" s="206">
        <f>VLOOKUP(B:B,[1]Sheet8!$G$1:$H$65536,2,0)</f>
        <v>176</v>
      </c>
      <c r="AJ13" s="206">
        <f t="shared" si="7"/>
        <v>207</v>
      </c>
      <c r="AK13" s="196">
        <f t="shared" si="8"/>
        <v>40</v>
      </c>
      <c r="AL13" s="196">
        <f t="shared" si="9"/>
        <v>23</v>
      </c>
      <c r="AM13" s="196">
        <f>AG13*1.5+AH13*1+AI13*3</f>
        <v>572.5</v>
      </c>
      <c r="AN13" s="196"/>
      <c r="AO13" s="166">
        <v>801.9</v>
      </c>
      <c r="AP13" s="166">
        <v>882.09</v>
      </c>
      <c r="AQ13" s="166">
        <v>962.28</v>
      </c>
      <c r="AR13" s="166">
        <v>1</v>
      </c>
      <c r="AS13" s="166">
        <v>801.9</v>
      </c>
      <c r="AT13" s="188">
        <f>VLOOKUP(B:B,[1]Sheet10!$F$1:$G$65536,2,0)</f>
        <v>463.7</v>
      </c>
      <c r="AU13" s="188">
        <f>VLOOKUP(B:B,[1]Sheet12!$G$1:$H$65536,2,0)</f>
        <v>109.96</v>
      </c>
      <c r="AV13" s="188">
        <f t="shared" si="10"/>
        <v>573.66</v>
      </c>
      <c r="AW13" s="188">
        <f t="shared" si="11"/>
        <v>-228.24</v>
      </c>
      <c r="AX13" s="188">
        <f t="shared" si="12"/>
        <v>-228.24</v>
      </c>
      <c r="AY13" s="166"/>
      <c r="AZ13" s="188">
        <f>AW13*0.04</f>
        <v>-9.1295999999999999</v>
      </c>
      <c r="BA13" s="188">
        <f>VLOOKUP(B:B,[6]查询时间段分门店销售明细!$B$1:$X$65536,23,0)</f>
        <v>1364.37</v>
      </c>
      <c r="BB13" s="188">
        <f>VLOOKUP(B:B,[1]Sheet14!$G$1:$I$65536,3,0)</f>
        <v>13009.18</v>
      </c>
      <c r="BC13" s="188">
        <v>0</v>
      </c>
      <c r="BD13" s="188">
        <f t="shared" si="13"/>
        <v>13009.18</v>
      </c>
      <c r="BE13" s="188">
        <f t="shared" si="14"/>
        <v>11644.81</v>
      </c>
      <c r="BF13" s="188">
        <f t="shared" si="15"/>
        <v>1300.9179999999999</v>
      </c>
      <c r="BG13" s="166"/>
      <c r="BH13" s="166">
        <v>3594.24</v>
      </c>
      <c r="BI13" s="166">
        <v>3953.6640000000002</v>
      </c>
      <c r="BJ13" s="166">
        <v>4313.0879999999997</v>
      </c>
      <c r="BK13" s="166">
        <v>1</v>
      </c>
      <c r="BL13" s="166">
        <v>3594.24</v>
      </c>
      <c r="BM13" s="188">
        <f>VLOOKUP(B:B,[1]Sheet17!$E$1:$F$65536,2,0)</f>
        <v>555.04999999999995</v>
      </c>
      <c r="BN13" s="188">
        <f t="shared" si="16"/>
        <v>-3039.19</v>
      </c>
      <c r="BO13" s="188">
        <f t="shared" si="17"/>
        <v>-3039.19</v>
      </c>
      <c r="BP13" s="188">
        <f>BM13*0.15</f>
        <v>83.257499999999993</v>
      </c>
      <c r="BQ13" s="188">
        <f>BN13*0.05</f>
        <v>-151.95949999999999</v>
      </c>
      <c r="BR13" s="166">
        <v>54600.3</v>
      </c>
      <c r="BS13" s="166">
        <v>60060.33</v>
      </c>
      <c r="BT13" s="166">
        <v>65520.36</v>
      </c>
      <c r="BU13" s="166">
        <v>2</v>
      </c>
      <c r="BV13" s="166">
        <v>60060.33</v>
      </c>
      <c r="BW13" s="188">
        <f>VLOOKUP(B:B,[2]Sheet1!$G$1:$H$65536,2,0)</f>
        <v>63231.95</v>
      </c>
      <c r="BX13" s="188">
        <f t="shared" si="18"/>
        <v>8631.6499999999905</v>
      </c>
      <c r="BY13" s="188">
        <f t="shared" si="19"/>
        <v>3171.62</v>
      </c>
      <c r="BZ13" s="188">
        <f>BW13*0.1</f>
        <v>6323.1949999999997</v>
      </c>
      <c r="CA13" s="174"/>
      <c r="CB13" s="188">
        <f t="shared" si="20"/>
        <v>10062.8827</v>
      </c>
      <c r="CC13" s="218">
        <f>VLOOKUP(B:B,[3]门店完成率!$A:$Y,25,0)</f>
        <v>1.0050736115729999</v>
      </c>
      <c r="CD13" s="166">
        <f>CB13</f>
        <v>10062.8827</v>
      </c>
      <c r="CE13" s="188">
        <f t="shared" si="21"/>
        <v>10062.879999999999</v>
      </c>
      <c r="CF13" s="188">
        <f t="shared" si="22"/>
        <v>-161.0891</v>
      </c>
      <c r="CG13" s="188">
        <f t="shared" si="23"/>
        <v>-161.09</v>
      </c>
      <c r="FL13" s="226"/>
      <c r="FM13" s="226"/>
      <c r="FN13" s="226"/>
      <c r="FO13" s="226"/>
      <c r="FP13" s="226"/>
      <c r="FQ13" s="226"/>
      <c r="FR13" s="226"/>
      <c r="FS13" s="226"/>
      <c r="FT13" s="226"/>
      <c r="FU13" s="226"/>
      <c r="FV13" s="226"/>
      <c r="FW13" s="226"/>
      <c r="FX13" s="226"/>
      <c r="FY13" s="226"/>
      <c r="FZ13" s="226"/>
      <c r="GA13" s="226"/>
      <c r="GB13" s="226"/>
      <c r="GC13" s="226"/>
      <c r="GD13" s="226"/>
      <c r="GE13" s="226"/>
      <c r="GF13" s="226"/>
      <c r="GG13" s="226"/>
      <c r="GH13" s="226"/>
      <c r="GI13" s="226"/>
      <c r="GJ13" s="226"/>
      <c r="GK13" s="226"/>
      <c r="GL13" s="226"/>
      <c r="GM13" s="226"/>
      <c r="GN13" s="226"/>
      <c r="GO13" s="226"/>
      <c r="GP13" s="226"/>
      <c r="GQ13" s="226"/>
      <c r="GR13" s="226"/>
      <c r="GS13" s="226"/>
      <c r="GT13" s="226"/>
      <c r="GU13" s="226"/>
      <c r="GV13" s="226"/>
      <c r="GW13" s="226"/>
      <c r="GX13" s="226"/>
      <c r="GY13" s="226"/>
      <c r="GZ13" s="226"/>
      <c r="HA13" s="226"/>
      <c r="HB13" s="226"/>
      <c r="HC13" s="226"/>
      <c r="HD13" s="226"/>
      <c r="HE13" s="226"/>
      <c r="HF13" s="226"/>
      <c r="HG13" s="226"/>
      <c r="HH13" s="226"/>
      <c r="HI13" s="226"/>
      <c r="HJ13" s="226"/>
      <c r="HK13" s="226"/>
      <c r="HL13" s="226"/>
      <c r="HM13" s="226"/>
      <c r="HN13" s="226"/>
      <c r="HO13" s="226"/>
      <c r="HP13" s="226"/>
      <c r="HQ13" s="226"/>
      <c r="HR13" s="226"/>
      <c r="HS13" s="226"/>
      <c r="HT13" s="226"/>
      <c r="HU13" s="226"/>
      <c r="HV13" s="226"/>
      <c r="HW13" s="226"/>
      <c r="HX13" s="226"/>
      <c r="HY13" s="226"/>
      <c r="HZ13" s="226"/>
      <c r="IA13" s="226"/>
      <c r="IB13" s="226"/>
      <c r="IC13" s="226"/>
      <c r="ID13" s="226"/>
      <c r="IE13" s="226"/>
      <c r="IF13" s="226"/>
      <c r="IG13" s="226"/>
    </row>
    <row r="14" spans="1:241" s="151" customFormat="1" ht="14.25">
      <c r="A14" s="164">
        <v>12</v>
      </c>
      <c r="B14" s="167">
        <v>385</v>
      </c>
      <c r="C14" s="167" t="s">
        <v>56</v>
      </c>
      <c r="D14" s="167" t="s">
        <v>45</v>
      </c>
      <c r="E14" s="165">
        <v>3</v>
      </c>
      <c r="F14" s="165">
        <v>4</v>
      </c>
      <c r="G14" s="165">
        <v>5</v>
      </c>
      <c r="H14" s="165">
        <v>1</v>
      </c>
      <c r="I14" s="165">
        <v>3</v>
      </c>
      <c r="J14" s="165">
        <v>-1</v>
      </c>
      <c r="K14" s="165">
        <f>VLOOKUP(B:B,[5]Sheet1!$I$1:$K$65536,3,0)</f>
        <v>0</v>
      </c>
      <c r="L14" s="165">
        <f>VLOOKUP(B:B,[5]Sheet1!$I$1:$M$65536,5,0)</f>
        <v>0</v>
      </c>
      <c r="M14" s="165">
        <f>VLOOKUP(B:B,[5]Sheet1!$I$1:$N$65536,6,0)</f>
        <v>-1</v>
      </c>
      <c r="N14" s="165">
        <f t="shared" si="3"/>
        <v>-4</v>
      </c>
      <c r="O14" s="165">
        <f t="shared" si="4"/>
        <v>-4</v>
      </c>
      <c r="P14" s="165">
        <f t="shared" ref="P14:P24" si="25">K14*70+L14*15+M14*40</f>
        <v>-40</v>
      </c>
      <c r="Q14" s="165">
        <f t="shared" ref="Q14:Q24" si="26">N14*15</f>
        <v>-60</v>
      </c>
      <c r="R14" s="188">
        <v>1994</v>
      </c>
      <c r="S14" s="189">
        <v>2193.4</v>
      </c>
      <c r="T14" s="189">
        <v>2392.8000000000002</v>
      </c>
      <c r="U14" s="189">
        <v>1</v>
      </c>
      <c r="V14" s="188">
        <v>1994</v>
      </c>
      <c r="W14" s="188">
        <f>VLOOKUP(B:B,[1]Sheet1!$F$1:$G$65536,2,0)</f>
        <v>2555.4299999999998</v>
      </c>
      <c r="X14" s="188">
        <f t="shared" si="5"/>
        <v>561.42999999999995</v>
      </c>
      <c r="Y14" s="188">
        <f t="shared" si="6"/>
        <v>561.42999999999995</v>
      </c>
      <c r="Z14" s="188">
        <f>W14*0.07</f>
        <v>178.8801</v>
      </c>
      <c r="AA14" s="188"/>
      <c r="AB14" s="165">
        <v>62</v>
      </c>
      <c r="AC14" s="195">
        <v>68</v>
      </c>
      <c r="AD14" s="195">
        <v>74</v>
      </c>
      <c r="AE14" s="164">
        <v>1</v>
      </c>
      <c r="AF14" s="196">
        <v>62</v>
      </c>
      <c r="AG14" s="206">
        <f>VLOOKUP(B:B,[1]Sheet3!$G$1:$H$65536,2,0)</f>
        <v>23</v>
      </c>
      <c r="AH14" s="206">
        <f>VLOOKUP(B:B,[1]Sheet5!$E$1:$F$65536,2,0)</f>
        <v>7</v>
      </c>
      <c r="AI14" s="206">
        <f>VLOOKUP(B:B,[1]Sheet8!$G$1:$H$65536,2,0)</f>
        <v>24</v>
      </c>
      <c r="AJ14" s="206">
        <f t="shared" si="7"/>
        <v>54</v>
      </c>
      <c r="AK14" s="196">
        <f t="shared" si="8"/>
        <v>-8</v>
      </c>
      <c r="AL14" s="196">
        <f t="shared" si="9"/>
        <v>-8</v>
      </c>
      <c r="AM14" s="196"/>
      <c r="AN14" s="196">
        <f>AK14*1</f>
        <v>-8</v>
      </c>
      <c r="AO14" s="166">
        <v>917.1</v>
      </c>
      <c r="AP14" s="166">
        <v>1008.81</v>
      </c>
      <c r="AQ14" s="166">
        <v>1100.52</v>
      </c>
      <c r="AR14" s="166">
        <v>1</v>
      </c>
      <c r="AS14" s="166">
        <v>917.1</v>
      </c>
      <c r="AT14" s="188">
        <f>VLOOKUP(B:B,[1]Sheet10!$F$1:$G$65536,2,0)</f>
        <v>25.8</v>
      </c>
      <c r="AU14" s="188">
        <f>VLOOKUP(B:B,[1]Sheet12!$G$1:$H$65536,2,0)</f>
        <v>403.5</v>
      </c>
      <c r="AV14" s="188">
        <f t="shared" si="10"/>
        <v>429.3</v>
      </c>
      <c r="AW14" s="188">
        <f t="shared" si="11"/>
        <v>-487.8</v>
      </c>
      <c r="AX14" s="188">
        <f t="shared" si="12"/>
        <v>-487.8</v>
      </c>
      <c r="AY14" s="166"/>
      <c r="AZ14" s="188">
        <f>AW14*0.04</f>
        <v>-19.512</v>
      </c>
      <c r="BA14" s="188">
        <v>24071.3</v>
      </c>
      <c r="BB14" s="188">
        <f>VLOOKUP(B:B,[1]Sheet14!$G$1:$I$65536,3,0)</f>
        <v>38841.460000000101</v>
      </c>
      <c r="BC14" s="188">
        <v>7</v>
      </c>
      <c r="BD14" s="188">
        <f t="shared" si="13"/>
        <v>38848.460000000101</v>
      </c>
      <c r="BE14" s="188">
        <f t="shared" si="14"/>
        <v>14777.1600000001</v>
      </c>
      <c r="BF14" s="188">
        <f t="shared" si="15"/>
        <v>3884.3560000000102</v>
      </c>
      <c r="BG14" s="210"/>
      <c r="BH14" s="166">
        <v>2556.7199999999998</v>
      </c>
      <c r="BI14" s="166">
        <v>2812.3919999999998</v>
      </c>
      <c r="BJ14" s="166">
        <v>3068.0639999999999</v>
      </c>
      <c r="BK14" s="166">
        <v>1</v>
      </c>
      <c r="BL14" s="166">
        <v>2556.7199999999998</v>
      </c>
      <c r="BM14" s="188">
        <f>VLOOKUP(B:B,[1]Sheet17!$E$1:$F$65536,2,0)</f>
        <v>1018.5</v>
      </c>
      <c r="BN14" s="188">
        <f t="shared" si="16"/>
        <v>-1538.22</v>
      </c>
      <c r="BO14" s="188">
        <f t="shared" si="17"/>
        <v>-1538.22</v>
      </c>
      <c r="BP14" s="188">
        <f>BM14*0.15</f>
        <v>152.77500000000001</v>
      </c>
      <c r="BQ14" s="188">
        <f>BN14*0.05</f>
        <v>-76.911000000000001</v>
      </c>
      <c r="BR14" s="166">
        <v>21114</v>
      </c>
      <c r="BS14" s="166">
        <v>23225.4</v>
      </c>
      <c r="BT14" s="166">
        <v>25336.799999999999</v>
      </c>
      <c r="BU14" s="166">
        <v>1</v>
      </c>
      <c r="BV14" s="166">
        <v>21114</v>
      </c>
      <c r="BW14" s="188">
        <f>VLOOKUP(B:B,[2]Sheet1!$G$1:$H$65536,2,0)</f>
        <v>15143.89</v>
      </c>
      <c r="BX14" s="188">
        <f t="shared" si="18"/>
        <v>-5970.11</v>
      </c>
      <c r="BY14" s="188">
        <f t="shared" si="19"/>
        <v>-5970.11</v>
      </c>
      <c r="BZ14" s="166">
        <f t="shared" ref="BZ14:BZ19" si="27">BW14*0.08</f>
        <v>1211.5111999999999</v>
      </c>
      <c r="CA14" s="174">
        <f>BX14*0.05</f>
        <v>-298.50549999999998</v>
      </c>
      <c r="CB14" s="188">
        <f t="shared" si="20"/>
        <v>5387.5223000000096</v>
      </c>
      <c r="CC14" s="218">
        <f>VLOOKUP(B:B,[3]门店完成率!$A:$Y,25,0)</f>
        <v>1.0843932258064499</v>
      </c>
      <c r="CD14" s="166">
        <f>CB14</f>
        <v>5387.5223000000096</v>
      </c>
      <c r="CE14" s="188">
        <f t="shared" si="21"/>
        <v>5387.52</v>
      </c>
      <c r="CF14" s="188">
        <f t="shared" si="22"/>
        <v>-462.92849999999999</v>
      </c>
      <c r="CG14" s="188">
        <f t="shared" si="23"/>
        <v>-462.93</v>
      </c>
      <c r="CH14" s="152"/>
      <c r="CI14" s="152"/>
      <c r="CJ14" s="152"/>
      <c r="CK14" s="152"/>
      <c r="CL14" s="152"/>
      <c r="CM14" s="152"/>
      <c r="CN14" s="152"/>
      <c r="CO14" s="152"/>
      <c r="CP14" s="152"/>
      <c r="CQ14" s="152"/>
      <c r="CR14" s="152"/>
      <c r="CS14" s="152"/>
      <c r="CT14" s="152"/>
      <c r="CU14" s="152"/>
      <c r="CV14" s="152"/>
      <c r="CW14" s="152"/>
      <c r="CX14" s="152"/>
      <c r="CY14" s="152"/>
      <c r="CZ14" s="152"/>
      <c r="DA14" s="152"/>
      <c r="DB14" s="152"/>
      <c r="DC14" s="152"/>
      <c r="DD14" s="152"/>
      <c r="DE14" s="152"/>
      <c r="DF14" s="152"/>
      <c r="DG14" s="152"/>
      <c r="DH14" s="152"/>
      <c r="DI14" s="152"/>
      <c r="DJ14" s="152"/>
      <c r="DK14" s="152"/>
      <c r="DL14" s="152"/>
      <c r="DM14" s="152"/>
      <c r="DN14" s="152"/>
      <c r="DO14" s="152"/>
      <c r="DP14" s="152"/>
      <c r="DQ14" s="152"/>
      <c r="DR14" s="152"/>
      <c r="DS14" s="152"/>
      <c r="DT14" s="152"/>
      <c r="DU14" s="152"/>
      <c r="DV14" s="152"/>
      <c r="DW14" s="152"/>
      <c r="DX14" s="152"/>
      <c r="DY14" s="152"/>
      <c r="DZ14" s="152"/>
      <c r="EA14" s="152"/>
      <c r="EB14" s="152"/>
      <c r="EC14" s="152"/>
      <c r="ED14" s="152"/>
      <c r="EE14" s="152"/>
      <c r="EF14" s="152"/>
      <c r="EG14" s="152"/>
      <c r="EH14" s="152"/>
      <c r="EI14" s="152"/>
      <c r="EJ14" s="152"/>
      <c r="EK14" s="152"/>
      <c r="EL14" s="152"/>
      <c r="EM14" s="152"/>
      <c r="EN14" s="152"/>
      <c r="EO14" s="152"/>
      <c r="EP14" s="152"/>
      <c r="EQ14" s="152"/>
      <c r="ER14" s="152"/>
      <c r="ES14" s="152"/>
      <c r="ET14" s="152"/>
      <c r="EU14" s="152"/>
      <c r="EV14" s="152"/>
      <c r="EW14" s="152"/>
      <c r="EX14" s="152"/>
      <c r="EY14" s="152"/>
      <c r="EZ14" s="152"/>
      <c r="FA14" s="152"/>
      <c r="FB14" s="152"/>
      <c r="FC14" s="152"/>
      <c r="FD14" s="152"/>
      <c r="FE14" s="152"/>
      <c r="FF14" s="152"/>
      <c r="FG14" s="152"/>
      <c r="FH14" s="152"/>
      <c r="FI14" s="152"/>
      <c r="FJ14" s="152"/>
      <c r="FK14" s="152"/>
      <c r="FL14" s="226"/>
      <c r="FM14" s="226"/>
      <c r="FN14" s="226"/>
      <c r="FO14" s="226"/>
      <c r="FP14" s="226"/>
      <c r="FQ14" s="226"/>
      <c r="FR14" s="226"/>
      <c r="FS14" s="226"/>
      <c r="FT14" s="226"/>
      <c r="FU14" s="226"/>
      <c r="FV14" s="226"/>
      <c r="FW14" s="226"/>
      <c r="FX14" s="226"/>
      <c r="FY14" s="226"/>
      <c r="FZ14" s="226"/>
      <c r="GA14" s="226"/>
      <c r="GB14" s="226"/>
      <c r="GC14" s="226"/>
      <c r="GD14" s="226"/>
      <c r="GE14" s="226"/>
      <c r="GF14" s="226"/>
      <c r="GG14" s="226"/>
      <c r="GH14" s="226"/>
      <c r="GI14" s="226"/>
      <c r="GJ14" s="226"/>
      <c r="GK14" s="226"/>
      <c r="GL14" s="226"/>
      <c r="GM14" s="226"/>
      <c r="GN14" s="226"/>
      <c r="GO14" s="226"/>
      <c r="GP14" s="226"/>
      <c r="GQ14" s="226"/>
      <c r="GR14" s="226"/>
      <c r="GS14" s="226"/>
      <c r="GT14" s="226"/>
      <c r="GU14" s="226"/>
      <c r="GV14" s="226"/>
      <c r="GW14" s="226"/>
      <c r="GX14" s="226"/>
      <c r="GY14" s="226"/>
      <c r="GZ14" s="226"/>
      <c r="HA14" s="226"/>
      <c r="HB14" s="226"/>
      <c r="HC14" s="226"/>
      <c r="HD14" s="226"/>
      <c r="HE14" s="226"/>
      <c r="HF14" s="226"/>
      <c r="HG14" s="226"/>
      <c r="HH14" s="226"/>
      <c r="HI14" s="226"/>
      <c r="HJ14" s="226"/>
      <c r="HK14" s="226"/>
      <c r="HL14" s="226"/>
      <c r="HM14" s="226"/>
      <c r="HN14" s="226"/>
      <c r="HO14" s="226"/>
      <c r="HP14" s="226"/>
      <c r="HQ14" s="226"/>
      <c r="HR14" s="226"/>
      <c r="HS14" s="226"/>
      <c r="HT14" s="226"/>
      <c r="HU14" s="226"/>
      <c r="HV14" s="226"/>
      <c r="HW14" s="226"/>
      <c r="HX14" s="226"/>
      <c r="HY14" s="226"/>
      <c r="HZ14" s="226"/>
      <c r="IA14" s="226"/>
      <c r="IB14" s="226"/>
      <c r="IC14" s="226"/>
      <c r="ID14" s="226"/>
      <c r="IE14" s="226"/>
      <c r="IF14" s="226"/>
      <c r="IG14" s="226"/>
    </row>
    <row r="15" spans="1:241" s="152" customFormat="1" ht="14.25">
      <c r="A15" s="164">
        <v>13</v>
      </c>
      <c r="B15" s="166">
        <v>514</v>
      </c>
      <c r="C15" s="166" t="s">
        <v>57</v>
      </c>
      <c r="D15" s="166" t="s">
        <v>45</v>
      </c>
      <c r="E15" s="165">
        <v>3</v>
      </c>
      <c r="F15" s="165">
        <v>4</v>
      </c>
      <c r="G15" s="165">
        <v>5</v>
      </c>
      <c r="H15" s="165">
        <v>1</v>
      </c>
      <c r="I15" s="165">
        <v>3</v>
      </c>
      <c r="J15" s="165">
        <v>2</v>
      </c>
      <c r="K15" s="165">
        <f>VLOOKUP(B:B,[5]Sheet1!$I$1:$K$65536,3,0)</f>
        <v>0</v>
      </c>
      <c r="L15" s="165">
        <f>VLOOKUP(B:B,[5]Sheet1!$I$1:$M$65536,5,0)</f>
        <v>2</v>
      </c>
      <c r="M15" s="165">
        <f>VLOOKUP(B:B,[5]Sheet1!$I$1:$N$65536,6,0)</f>
        <v>0</v>
      </c>
      <c r="N15" s="165">
        <f t="shared" si="3"/>
        <v>-1</v>
      </c>
      <c r="O15" s="165">
        <f t="shared" si="4"/>
        <v>-1</v>
      </c>
      <c r="P15" s="165">
        <f t="shared" si="25"/>
        <v>30</v>
      </c>
      <c r="Q15" s="165">
        <f t="shared" si="26"/>
        <v>-15</v>
      </c>
      <c r="R15" s="164">
        <v>3025</v>
      </c>
      <c r="S15" s="189">
        <v>3327.5</v>
      </c>
      <c r="T15" s="189">
        <v>3630</v>
      </c>
      <c r="U15" s="189">
        <v>1</v>
      </c>
      <c r="V15" s="164">
        <v>3025</v>
      </c>
      <c r="W15" s="188">
        <f>VLOOKUP(B:B,[1]Sheet1!$F$1:$G$65536,2,0)</f>
        <v>2908.22</v>
      </c>
      <c r="X15" s="188">
        <f t="shared" si="5"/>
        <v>-116.78</v>
      </c>
      <c r="Y15" s="188">
        <f t="shared" si="6"/>
        <v>-116.78</v>
      </c>
      <c r="Z15" s="164"/>
      <c r="AA15" s="197">
        <f>X15*0.05</f>
        <v>-5.8390000000000102</v>
      </c>
      <c r="AB15" s="165">
        <v>148</v>
      </c>
      <c r="AC15" s="195">
        <v>163</v>
      </c>
      <c r="AD15" s="195">
        <v>178</v>
      </c>
      <c r="AE15" s="164">
        <v>3</v>
      </c>
      <c r="AF15" s="196">
        <v>178</v>
      </c>
      <c r="AG15" s="206">
        <f>VLOOKUP(B:B,[1]Sheet3!$G$1:$H$65536,2,0)</f>
        <v>78</v>
      </c>
      <c r="AH15" s="206">
        <f>VLOOKUP(B:B,[1]Sheet5!$E$1:$F$65536,2,0)</f>
        <v>13</v>
      </c>
      <c r="AI15" s="206">
        <f>VLOOKUP(B:B,[1]Sheet8!$G$1:$H$65536,2,0)</f>
        <v>97</v>
      </c>
      <c r="AJ15" s="206">
        <f t="shared" si="7"/>
        <v>188</v>
      </c>
      <c r="AK15" s="196">
        <f t="shared" si="8"/>
        <v>40</v>
      </c>
      <c r="AL15" s="196">
        <f t="shared" si="9"/>
        <v>10</v>
      </c>
      <c r="AM15" s="196">
        <f>AG15*2.5+AH15*1.5+AI15*4</f>
        <v>602.5</v>
      </c>
      <c r="AN15" s="196"/>
      <c r="AO15" s="166">
        <v>810</v>
      </c>
      <c r="AP15" s="166">
        <v>891</v>
      </c>
      <c r="AQ15" s="166">
        <v>972</v>
      </c>
      <c r="AR15" s="166">
        <v>1</v>
      </c>
      <c r="AS15" s="166">
        <v>810</v>
      </c>
      <c r="AT15" s="188">
        <f>VLOOKUP(B:B,[1]Sheet10!$F$1:$G$65536,2,0)</f>
        <v>190.65</v>
      </c>
      <c r="AU15" s="188">
        <f>VLOOKUP(B:B,[1]Sheet12!$G$1:$H$65536,2,0)</f>
        <v>223</v>
      </c>
      <c r="AV15" s="188">
        <f t="shared" si="10"/>
        <v>413.65</v>
      </c>
      <c r="AW15" s="188">
        <f t="shared" si="11"/>
        <v>-396.35</v>
      </c>
      <c r="AX15" s="188">
        <f t="shared" si="12"/>
        <v>-396.35</v>
      </c>
      <c r="AY15" s="166"/>
      <c r="AZ15" s="188">
        <f>AW15*0.04</f>
        <v>-15.853999999999999</v>
      </c>
      <c r="BA15" s="164">
        <f>VLOOKUP(B:B,[4]查询时间段分门店销售明细!$B$1:$X$65536,23,0)</f>
        <v>15170.57</v>
      </c>
      <c r="BB15" s="188">
        <f>VLOOKUP(B:B,[1]Sheet14!$G$1:$I$65536,3,0)</f>
        <v>16411.5999999999</v>
      </c>
      <c r="BC15" s="188">
        <v>0</v>
      </c>
      <c r="BD15" s="188">
        <f t="shared" si="13"/>
        <v>16411.5999999999</v>
      </c>
      <c r="BE15" s="188">
        <f t="shared" si="14"/>
        <v>1241.0299999998999</v>
      </c>
      <c r="BF15" s="188">
        <f t="shared" si="15"/>
        <v>1641.1599999999901</v>
      </c>
      <c r="BG15" s="166"/>
      <c r="BH15" s="166">
        <v>2025.36</v>
      </c>
      <c r="BI15" s="166">
        <v>2227.8960000000002</v>
      </c>
      <c r="BJ15" s="166">
        <v>2430.4319999999998</v>
      </c>
      <c r="BK15" s="166">
        <v>3</v>
      </c>
      <c r="BL15" s="166">
        <v>2430.4319999999998</v>
      </c>
      <c r="BM15" s="188">
        <f>VLOOKUP(B:B,[1]Sheet17!$E$1:$F$65536,2,0)</f>
        <v>3523.63</v>
      </c>
      <c r="BN15" s="188">
        <f t="shared" si="16"/>
        <v>1498.27</v>
      </c>
      <c r="BO15" s="188">
        <f t="shared" si="17"/>
        <v>1093.1980000000001</v>
      </c>
      <c r="BP15" s="188">
        <f>BM15*0.25</f>
        <v>880.90750000000003</v>
      </c>
      <c r="BQ15" s="166"/>
      <c r="BR15" s="166">
        <v>26488.799999999999</v>
      </c>
      <c r="BS15" s="166">
        <v>29137.68</v>
      </c>
      <c r="BT15" s="166">
        <v>31786.560000000001</v>
      </c>
      <c r="BU15" s="166">
        <v>1</v>
      </c>
      <c r="BV15" s="166">
        <v>26488.799999999999</v>
      </c>
      <c r="BW15" s="188">
        <f>VLOOKUP(B:B,[2]Sheet1!$G$1:$H$65536,2,0)</f>
        <v>18738.43</v>
      </c>
      <c r="BX15" s="188">
        <f t="shared" si="18"/>
        <v>-7750.37</v>
      </c>
      <c r="BY15" s="188">
        <f t="shared" si="19"/>
        <v>-7750.37</v>
      </c>
      <c r="BZ15" s="166">
        <f t="shared" si="27"/>
        <v>1499.0744</v>
      </c>
      <c r="CA15" s="174">
        <f>BX15*0.05</f>
        <v>-387.51850000000002</v>
      </c>
      <c r="CB15" s="188">
        <f t="shared" si="20"/>
        <v>4653.6418999999896</v>
      </c>
      <c r="CC15" s="218">
        <f>VLOOKUP(B:B,[3]门店完成率!$A:$Y,25,0)</f>
        <v>0.83890243727598601</v>
      </c>
      <c r="CD15" s="188">
        <f>CB15*0.5+CB15*0.5*CC15</f>
        <v>4278.79671605982</v>
      </c>
      <c r="CE15" s="188">
        <f t="shared" si="21"/>
        <v>4278.8</v>
      </c>
      <c r="CF15" s="188">
        <f t="shared" si="22"/>
        <v>-424.2115</v>
      </c>
      <c r="CG15" s="188">
        <f t="shared" si="23"/>
        <v>-424.21</v>
      </c>
      <c r="HD15" s="226"/>
      <c r="HE15" s="226"/>
      <c r="HF15" s="226"/>
      <c r="HG15" s="226"/>
      <c r="HH15" s="226"/>
      <c r="HI15" s="226"/>
      <c r="HJ15" s="226"/>
      <c r="HK15" s="226"/>
      <c r="HL15" s="226"/>
      <c r="HM15" s="226"/>
      <c r="HN15" s="226"/>
      <c r="HO15" s="226"/>
      <c r="HP15" s="226"/>
      <c r="HQ15" s="226"/>
      <c r="HR15" s="226"/>
      <c r="HS15" s="226"/>
      <c r="HT15" s="226"/>
      <c r="HU15" s="226"/>
      <c r="HV15" s="226"/>
      <c r="HW15" s="226"/>
      <c r="HX15" s="226"/>
      <c r="HY15" s="226"/>
      <c r="HZ15" s="226"/>
      <c r="IA15" s="226"/>
      <c r="IB15" s="226"/>
      <c r="IC15" s="226"/>
      <c r="ID15" s="226"/>
      <c r="IE15" s="226"/>
      <c r="IF15" s="226"/>
      <c r="IG15" s="226"/>
    </row>
    <row r="16" spans="1:241" s="151" customFormat="1" ht="14.25">
      <c r="A16" s="164">
        <v>14</v>
      </c>
      <c r="B16" s="168">
        <v>371</v>
      </c>
      <c r="C16" s="168" t="s">
        <v>58</v>
      </c>
      <c r="D16" s="168" t="s">
        <v>45</v>
      </c>
      <c r="E16" s="165">
        <v>1</v>
      </c>
      <c r="F16" s="165">
        <v>2</v>
      </c>
      <c r="G16" s="165">
        <v>3</v>
      </c>
      <c r="H16" s="165">
        <v>1</v>
      </c>
      <c r="I16" s="165">
        <v>1</v>
      </c>
      <c r="J16" s="165">
        <v>0</v>
      </c>
      <c r="K16" s="165">
        <v>0</v>
      </c>
      <c r="L16" s="165">
        <v>0</v>
      </c>
      <c r="M16" s="165">
        <v>0</v>
      </c>
      <c r="N16" s="165">
        <f t="shared" si="3"/>
        <v>-1</v>
      </c>
      <c r="O16" s="165">
        <f t="shared" si="4"/>
        <v>-1</v>
      </c>
      <c r="P16" s="165">
        <f t="shared" si="25"/>
        <v>0</v>
      </c>
      <c r="Q16" s="165">
        <f t="shared" si="26"/>
        <v>-15</v>
      </c>
      <c r="R16" s="188">
        <v>1044</v>
      </c>
      <c r="S16" s="189">
        <v>1148.4000000000001</v>
      </c>
      <c r="T16" s="189">
        <v>1252.8</v>
      </c>
      <c r="U16" s="189">
        <v>1</v>
      </c>
      <c r="V16" s="188">
        <v>1044</v>
      </c>
      <c r="W16" s="188">
        <f>VLOOKUP(B:B,[1]Sheet1!$F$1:$G$65536,2,0)</f>
        <v>401</v>
      </c>
      <c r="X16" s="188">
        <f t="shared" si="5"/>
        <v>-643</v>
      </c>
      <c r="Y16" s="188">
        <f t="shared" si="6"/>
        <v>-643</v>
      </c>
      <c r="Z16" s="188"/>
      <c r="AA16" s="197">
        <f>X16*0.05</f>
        <v>-32.15</v>
      </c>
      <c r="AB16" s="165">
        <v>50</v>
      </c>
      <c r="AC16" s="195">
        <v>55</v>
      </c>
      <c r="AD16" s="195">
        <v>60</v>
      </c>
      <c r="AE16" s="164">
        <v>1</v>
      </c>
      <c r="AF16" s="196">
        <v>50</v>
      </c>
      <c r="AG16" s="206">
        <f>VLOOKUP(B:B,[1]Sheet3!$G$1:$H$65536,2,0)</f>
        <v>26</v>
      </c>
      <c r="AH16" s="206">
        <f>VLOOKUP(B:B,[1]Sheet5!$E$1:$F$65536,2,0)</f>
        <v>9</v>
      </c>
      <c r="AI16" s="206">
        <f>VLOOKUP(B:B,[1]Sheet8!$G$1:$H$65536,2,0)</f>
        <v>6</v>
      </c>
      <c r="AJ16" s="206">
        <f t="shared" si="7"/>
        <v>41</v>
      </c>
      <c r="AK16" s="196">
        <f t="shared" si="8"/>
        <v>-9</v>
      </c>
      <c r="AL16" s="196">
        <f t="shared" si="9"/>
        <v>-9</v>
      </c>
      <c r="AM16" s="196"/>
      <c r="AN16" s="196">
        <f>AK16*1</f>
        <v>-9</v>
      </c>
      <c r="AO16" s="168">
        <v>333</v>
      </c>
      <c r="AP16" s="168">
        <v>366.3</v>
      </c>
      <c r="AQ16" s="168">
        <v>399.6</v>
      </c>
      <c r="AR16" s="168">
        <v>3</v>
      </c>
      <c r="AS16" s="168">
        <v>399.6</v>
      </c>
      <c r="AT16" s="188">
        <f>VLOOKUP(B:B,[1]Sheet10!$F$1:$G$65536,2,0)</f>
        <v>197.1</v>
      </c>
      <c r="AU16" s="188">
        <f>VLOOKUP(B:B,[1]Sheet12!$G$1:$H$65536,2,0)</f>
        <v>222</v>
      </c>
      <c r="AV16" s="188">
        <f t="shared" si="10"/>
        <v>419.1</v>
      </c>
      <c r="AW16" s="188">
        <f t="shared" si="11"/>
        <v>86.1</v>
      </c>
      <c r="AX16" s="188">
        <f t="shared" si="12"/>
        <v>19.5</v>
      </c>
      <c r="AY16" s="168">
        <f>AT16*0.09+AU16*0.05</f>
        <v>28.838999999999999</v>
      </c>
      <c r="AZ16" s="168"/>
      <c r="BA16" s="188">
        <f>VLOOKUP(B:B,[6]查询时间段分门店销售明细!$B$1:$X$65536,23,0)</f>
        <v>7023.41</v>
      </c>
      <c r="BB16" s="188">
        <f>VLOOKUP(B:B,[1]Sheet14!$G$1:$I$65536,3,0)</f>
        <v>7346.3100000000104</v>
      </c>
      <c r="BC16" s="188">
        <v>0</v>
      </c>
      <c r="BD16" s="188">
        <f t="shared" si="13"/>
        <v>7346.3100000000104</v>
      </c>
      <c r="BE16" s="188">
        <f t="shared" si="14"/>
        <v>322.900000000011</v>
      </c>
      <c r="BF16" s="188">
        <f t="shared" si="15"/>
        <v>734.63100000000099</v>
      </c>
      <c r="BG16" s="210"/>
      <c r="BH16" s="168">
        <v>861.12</v>
      </c>
      <c r="BI16" s="168">
        <v>947.23199999999997</v>
      </c>
      <c r="BJ16" s="168">
        <v>1033.3440000000001</v>
      </c>
      <c r="BK16" s="168">
        <v>1</v>
      </c>
      <c r="BL16" s="168">
        <v>861.12</v>
      </c>
      <c r="BM16" s="188">
        <f>VLOOKUP(B:B,[1]Sheet17!$E$1:$F$65536,2,0)</f>
        <v>468</v>
      </c>
      <c r="BN16" s="188">
        <f t="shared" si="16"/>
        <v>-393.12</v>
      </c>
      <c r="BO16" s="188">
        <f t="shared" si="17"/>
        <v>-393.12</v>
      </c>
      <c r="BP16" s="188">
        <f>BM16*0.15</f>
        <v>70.2</v>
      </c>
      <c r="BQ16" s="188">
        <f>BN16*0.05</f>
        <v>-19.655999999999999</v>
      </c>
      <c r="BR16" s="168">
        <v>8603.1</v>
      </c>
      <c r="BS16" s="168">
        <v>9463.41</v>
      </c>
      <c r="BT16" s="168">
        <v>10323.719999999999</v>
      </c>
      <c r="BU16" s="168">
        <v>1</v>
      </c>
      <c r="BV16" s="168">
        <v>8603.1</v>
      </c>
      <c r="BW16" s="188">
        <f>VLOOKUP(B:B,[2]Sheet1!$G$1:$H$65536,2,0)</f>
        <v>2714.57</v>
      </c>
      <c r="BX16" s="188">
        <f t="shared" si="18"/>
        <v>-5888.53</v>
      </c>
      <c r="BY16" s="188">
        <f t="shared" si="19"/>
        <v>-5888.53</v>
      </c>
      <c r="BZ16" s="166">
        <f t="shared" si="27"/>
        <v>217.16560000000001</v>
      </c>
      <c r="CA16" s="174">
        <f>BX16*0.05</f>
        <v>-294.42649999999998</v>
      </c>
      <c r="CB16" s="188">
        <f t="shared" si="20"/>
        <v>1050.8356000000001</v>
      </c>
      <c r="CC16" s="218">
        <f>VLOOKUP(B:B,[3]门店完成率!$A:$Y,25,0)</f>
        <v>0.82878344651952496</v>
      </c>
      <c r="CD16" s="188">
        <f>CB16*0.5+CB16*0.5*CC16</f>
        <v>960.87537514670805</v>
      </c>
      <c r="CE16" s="188">
        <f t="shared" si="21"/>
        <v>960.88</v>
      </c>
      <c r="CF16" s="188">
        <f t="shared" si="22"/>
        <v>-370.23250000000002</v>
      </c>
      <c r="CG16" s="188">
        <f t="shared" si="23"/>
        <v>-370.23</v>
      </c>
      <c r="CH16" s="221"/>
      <c r="CI16" s="221"/>
      <c r="CJ16" s="221"/>
      <c r="CK16" s="221"/>
      <c r="CL16" s="221"/>
      <c r="CM16" s="221"/>
      <c r="CN16" s="221"/>
      <c r="CO16" s="221"/>
      <c r="CP16" s="221"/>
      <c r="CQ16" s="221"/>
      <c r="CR16" s="221"/>
      <c r="CS16" s="221"/>
      <c r="CT16" s="221"/>
      <c r="CU16" s="221"/>
      <c r="CV16" s="221"/>
      <c r="CW16" s="221"/>
      <c r="CX16" s="221"/>
      <c r="CY16" s="221"/>
      <c r="CZ16" s="221"/>
      <c r="DA16" s="221"/>
      <c r="DB16" s="221"/>
      <c r="DC16" s="221"/>
      <c r="DD16" s="221"/>
      <c r="DE16" s="221"/>
      <c r="DF16" s="221"/>
      <c r="DG16" s="221"/>
      <c r="DH16" s="221"/>
      <c r="DI16" s="221"/>
      <c r="DJ16" s="221"/>
      <c r="DK16" s="221"/>
      <c r="DL16" s="221"/>
      <c r="DM16" s="221"/>
      <c r="DN16" s="221"/>
      <c r="DO16" s="221"/>
      <c r="DP16" s="221"/>
      <c r="DQ16" s="221"/>
      <c r="DR16" s="221"/>
      <c r="DS16" s="221"/>
      <c r="DT16" s="221"/>
      <c r="DU16" s="221"/>
      <c r="DV16" s="221"/>
      <c r="DW16" s="221"/>
      <c r="DX16" s="221"/>
      <c r="DY16" s="221"/>
      <c r="DZ16" s="221"/>
      <c r="EA16" s="221"/>
      <c r="EB16" s="221"/>
      <c r="EC16" s="221"/>
      <c r="ED16" s="221"/>
      <c r="EE16" s="221"/>
      <c r="EF16" s="221"/>
      <c r="EG16" s="221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  <c r="FP16" s="221"/>
      <c r="FQ16" s="221"/>
      <c r="FR16" s="221"/>
      <c r="FS16" s="221"/>
      <c r="FT16" s="221"/>
      <c r="FU16" s="221"/>
      <c r="FV16" s="228"/>
      <c r="FW16" s="228"/>
      <c r="FX16" s="228"/>
      <c r="FY16" s="228"/>
      <c r="FZ16" s="228"/>
      <c r="GA16" s="228"/>
      <c r="GB16" s="228"/>
      <c r="GC16" s="228"/>
      <c r="GD16" s="228"/>
      <c r="GE16" s="228"/>
      <c r="GF16" s="228"/>
      <c r="GG16" s="228"/>
      <c r="GH16" s="228"/>
      <c r="GI16" s="228"/>
      <c r="GJ16" s="228"/>
      <c r="GK16" s="228"/>
      <c r="GL16" s="228"/>
      <c r="GM16" s="228"/>
      <c r="GN16" s="228"/>
      <c r="GO16" s="228"/>
      <c r="GP16" s="228"/>
      <c r="GQ16" s="228"/>
      <c r="GR16" s="228"/>
      <c r="GS16" s="228"/>
      <c r="GT16" s="228"/>
      <c r="GU16" s="228"/>
      <c r="GV16" s="228"/>
      <c r="GW16" s="228"/>
      <c r="GX16" s="228"/>
      <c r="GY16" s="228"/>
      <c r="GZ16" s="228"/>
      <c r="HA16" s="228"/>
      <c r="HB16" s="228"/>
      <c r="HC16" s="228"/>
    </row>
    <row r="17" spans="1:249" s="151" customFormat="1" ht="14.25">
      <c r="A17" s="164">
        <v>15</v>
      </c>
      <c r="B17" s="166">
        <v>748</v>
      </c>
      <c r="C17" s="166" t="s">
        <v>59</v>
      </c>
      <c r="D17" s="166" t="s">
        <v>45</v>
      </c>
      <c r="E17" s="165">
        <v>1</v>
      </c>
      <c r="F17" s="165">
        <v>2</v>
      </c>
      <c r="G17" s="165">
        <v>3</v>
      </c>
      <c r="H17" s="165">
        <v>1</v>
      </c>
      <c r="I17" s="165">
        <v>1</v>
      </c>
      <c r="J17" s="165">
        <v>0</v>
      </c>
      <c r="K17" s="165">
        <v>0</v>
      </c>
      <c r="L17" s="165">
        <v>0</v>
      </c>
      <c r="M17" s="165">
        <v>0</v>
      </c>
      <c r="N17" s="165">
        <f t="shared" si="3"/>
        <v>-1</v>
      </c>
      <c r="O17" s="165">
        <f t="shared" si="4"/>
        <v>-1</v>
      </c>
      <c r="P17" s="165">
        <f t="shared" si="25"/>
        <v>0</v>
      </c>
      <c r="Q17" s="165">
        <f t="shared" si="26"/>
        <v>-15</v>
      </c>
      <c r="R17" s="188">
        <v>1923</v>
      </c>
      <c r="S17" s="189">
        <v>2115.3000000000002</v>
      </c>
      <c r="T17" s="189">
        <v>2307.6</v>
      </c>
      <c r="U17" s="189">
        <v>1</v>
      </c>
      <c r="V17" s="188">
        <v>1923</v>
      </c>
      <c r="W17" s="188">
        <f>VLOOKUP(B:B,[1]Sheet1!$F$1:$G$65536,2,0)</f>
        <v>1271.44</v>
      </c>
      <c r="X17" s="188">
        <f t="shared" si="5"/>
        <v>-651.55999999999995</v>
      </c>
      <c r="Y17" s="188">
        <f t="shared" si="6"/>
        <v>-651.55999999999995</v>
      </c>
      <c r="Z17" s="188"/>
      <c r="AA17" s="197">
        <f>X17*0.05</f>
        <v>-32.578000000000003</v>
      </c>
      <c r="AB17" s="165">
        <v>48</v>
      </c>
      <c r="AC17" s="195">
        <v>53</v>
      </c>
      <c r="AD17" s="195">
        <v>58</v>
      </c>
      <c r="AE17" s="164">
        <v>1</v>
      </c>
      <c r="AF17" s="196">
        <v>48</v>
      </c>
      <c r="AG17" s="206">
        <f>VLOOKUP(B:B,[1]Sheet3!$G$1:$H$65536,2,0)</f>
        <v>33</v>
      </c>
      <c r="AH17" s="206">
        <f>VLOOKUP(B:B,[1]Sheet5!$E$1:$F$65536,2,0)</f>
        <v>8</v>
      </c>
      <c r="AI17" s="206">
        <f>VLOOKUP(B:B,[1]Sheet8!$G$1:$H$65536,2,0)</f>
        <v>14</v>
      </c>
      <c r="AJ17" s="206">
        <f t="shared" si="7"/>
        <v>55</v>
      </c>
      <c r="AK17" s="196">
        <f t="shared" si="8"/>
        <v>7</v>
      </c>
      <c r="AL17" s="196">
        <f t="shared" si="9"/>
        <v>7</v>
      </c>
      <c r="AM17" s="196">
        <f>AG17*1+AH17*0.5+AI17*2</f>
        <v>65</v>
      </c>
      <c r="AN17" s="196"/>
      <c r="AO17" s="166">
        <v>281.7</v>
      </c>
      <c r="AP17" s="166">
        <v>309.87</v>
      </c>
      <c r="AQ17" s="166">
        <v>338.04</v>
      </c>
      <c r="AR17" s="166">
        <v>1</v>
      </c>
      <c r="AS17" s="166">
        <v>281.7</v>
      </c>
      <c r="AT17" s="188">
        <f>VLOOKUP(B:B,[1]Sheet10!$F$1:$G$65536,2,0)</f>
        <v>269.7</v>
      </c>
      <c r="AU17" s="188">
        <f>VLOOKUP(B:B,[1]Sheet12!$G$1:$H$65536,2,0)</f>
        <v>247.4</v>
      </c>
      <c r="AV17" s="188">
        <f t="shared" si="10"/>
        <v>517.1</v>
      </c>
      <c r="AW17" s="188">
        <f t="shared" si="11"/>
        <v>235.4</v>
      </c>
      <c r="AX17" s="188">
        <f t="shared" si="12"/>
        <v>235.4</v>
      </c>
      <c r="AY17" s="166">
        <f>AT17*0.05+AU17*0.03</f>
        <v>20.907</v>
      </c>
      <c r="AZ17" s="166"/>
      <c r="BA17" s="188">
        <f>VLOOKUP(B:B,[4]查询时间段分门店销售明细!$B$1:$X$65536,23,0)</f>
        <v>3470.6</v>
      </c>
      <c r="BB17" s="188">
        <f>VLOOKUP(B:B,[1]Sheet14!$G$1:$I$65536,3,0)</f>
        <v>5103.0900000000101</v>
      </c>
      <c r="BC17" s="188">
        <v>0</v>
      </c>
      <c r="BD17" s="188">
        <f t="shared" si="13"/>
        <v>5103.0900000000101</v>
      </c>
      <c r="BE17" s="188">
        <f t="shared" si="14"/>
        <v>1632.49000000001</v>
      </c>
      <c r="BF17" s="188">
        <f t="shared" si="15"/>
        <v>510.30900000000099</v>
      </c>
      <c r="BG17" s="210"/>
      <c r="BH17" s="166">
        <v>986.4</v>
      </c>
      <c r="BI17" s="166">
        <v>1085.04</v>
      </c>
      <c r="BJ17" s="166">
        <v>1183.68</v>
      </c>
      <c r="BK17" s="166">
        <v>1</v>
      </c>
      <c r="BL17" s="166">
        <v>986.4</v>
      </c>
      <c r="BM17" s="188">
        <f>VLOOKUP(B:B,[1]Sheet17!$E$1:$F$65536,2,0)</f>
        <v>1437.67</v>
      </c>
      <c r="BN17" s="188">
        <f t="shared" si="16"/>
        <v>451.27</v>
      </c>
      <c r="BO17" s="188">
        <f t="shared" si="17"/>
        <v>451.27</v>
      </c>
      <c r="BP17" s="188">
        <f>BM17*0.15</f>
        <v>215.65049999999999</v>
      </c>
      <c r="BQ17" s="166"/>
      <c r="BR17" s="166">
        <v>11658.6</v>
      </c>
      <c r="BS17" s="166">
        <v>12824.46</v>
      </c>
      <c r="BT17" s="166">
        <v>13990.32</v>
      </c>
      <c r="BU17" s="166">
        <v>1</v>
      </c>
      <c r="BV17" s="166">
        <v>11658.6</v>
      </c>
      <c r="BW17" s="188">
        <f>VLOOKUP(B:B,[2]Sheet1!$G$1:$H$65536,2,0)</f>
        <v>12701.28</v>
      </c>
      <c r="BX17" s="188">
        <f t="shared" si="18"/>
        <v>1042.68</v>
      </c>
      <c r="BY17" s="188">
        <f t="shared" si="19"/>
        <v>1042.68</v>
      </c>
      <c r="BZ17" s="166">
        <f t="shared" si="27"/>
        <v>1016.1024</v>
      </c>
      <c r="CA17" s="174"/>
      <c r="CB17" s="188">
        <f t="shared" si="20"/>
        <v>1827.9689000000001</v>
      </c>
      <c r="CC17" s="218">
        <f>VLOOKUP(B:B,[3]门店完成率!$A:$Y,25,0)</f>
        <v>1.0182154032258099</v>
      </c>
      <c r="CD17" s="166">
        <f>CB17</f>
        <v>1827.9689000000001</v>
      </c>
      <c r="CE17" s="188">
        <f t="shared" si="21"/>
        <v>1827.97</v>
      </c>
      <c r="CF17" s="188">
        <f t="shared" si="22"/>
        <v>-47.578000000000003</v>
      </c>
      <c r="CG17" s="188">
        <f t="shared" si="23"/>
        <v>-47.58</v>
      </c>
      <c r="CH17" s="152"/>
      <c r="CI17" s="152"/>
      <c r="CJ17" s="152"/>
      <c r="CK17" s="152"/>
      <c r="CL17" s="152"/>
      <c r="CM17" s="152"/>
      <c r="CN17" s="152"/>
      <c r="CO17" s="152"/>
      <c r="CP17" s="152"/>
      <c r="CQ17" s="152"/>
      <c r="CR17" s="152"/>
      <c r="CS17" s="152"/>
      <c r="CT17" s="152"/>
      <c r="CU17" s="152"/>
      <c r="CV17" s="152"/>
      <c r="CW17" s="152"/>
      <c r="CX17" s="152"/>
      <c r="CY17" s="152"/>
      <c r="CZ17" s="152"/>
      <c r="DA17" s="152"/>
      <c r="DB17" s="152"/>
      <c r="DC17" s="152"/>
      <c r="DD17" s="152"/>
      <c r="DE17" s="152"/>
      <c r="DF17" s="152"/>
      <c r="DG17" s="152"/>
      <c r="DH17" s="152"/>
      <c r="DI17" s="152"/>
      <c r="DJ17" s="152"/>
      <c r="DK17" s="152"/>
      <c r="DL17" s="152"/>
      <c r="DM17" s="152"/>
      <c r="DN17" s="152"/>
      <c r="DO17" s="152"/>
      <c r="DP17" s="152"/>
      <c r="DQ17" s="152"/>
      <c r="DR17" s="152"/>
      <c r="DS17" s="152"/>
      <c r="DT17" s="152"/>
      <c r="DU17" s="152"/>
      <c r="DV17" s="152"/>
      <c r="DW17" s="152"/>
      <c r="DX17" s="152"/>
      <c r="DY17" s="152"/>
      <c r="DZ17" s="152"/>
      <c r="EA17" s="152"/>
      <c r="EB17" s="152"/>
      <c r="EC17" s="152"/>
      <c r="ED17" s="152"/>
      <c r="EE17" s="152"/>
      <c r="EF17" s="152"/>
      <c r="EG17" s="152"/>
      <c r="EH17" s="152"/>
      <c r="EI17" s="152"/>
      <c r="EJ17" s="152"/>
      <c r="EK17" s="152"/>
      <c r="EL17" s="152"/>
      <c r="EM17" s="152"/>
      <c r="EN17" s="152"/>
      <c r="EO17" s="152"/>
      <c r="EP17" s="152"/>
      <c r="EQ17" s="152"/>
      <c r="ER17" s="152"/>
      <c r="ES17" s="152"/>
      <c r="ET17" s="152"/>
      <c r="EU17" s="152"/>
      <c r="EV17" s="152"/>
      <c r="EW17" s="152"/>
      <c r="EX17" s="152"/>
      <c r="EY17" s="152"/>
      <c r="EZ17" s="152"/>
      <c r="FA17" s="152"/>
      <c r="FB17" s="152"/>
      <c r="FC17" s="152"/>
      <c r="FD17" s="152"/>
      <c r="FE17" s="152"/>
      <c r="FF17" s="152"/>
      <c r="FG17" s="152"/>
      <c r="FH17" s="152"/>
      <c r="FI17" s="152"/>
      <c r="FJ17" s="152"/>
      <c r="FK17" s="152"/>
      <c r="FL17" s="226"/>
      <c r="FM17" s="226"/>
      <c r="FN17" s="226"/>
      <c r="FO17" s="226"/>
      <c r="FP17" s="226"/>
      <c r="FQ17" s="226"/>
      <c r="FR17" s="226"/>
      <c r="FS17" s="226"/>
      <c r="FT17" s="226"/>
      <c r="FU17" s="226"/>
      <c r="FV17" s="226"/>
      <c r="FW17" s="226"/>
      <c r="FX17" s="226"/>
      <c r="FY17" s="226"/>
      <c r="FZ17" s="226"/>
      <c r="GA17" s="226"/>
      <c r="GB17" s="226"/>
      <c r="GC17" s="226"/>
      <c r="GD17" s="226"/>
      <c r="GE17" s="226"/>
      <c r="GF17" s="226"/>
      <c r="GG17" s="226"/>
      <c r="GH17" s="226"/>
      <c r="GI17" s="226"/>
      <c r="GJ17" s="226"/>
      <c r="GK17" s="226"/>
      <c r="GL17" s="226"/>
      <c r="GM17" s="226"/>
      <c r="GN17" s="226"/>
      <c r="GO17" s="226"/>
      <c r="GP17" s="226"/>
      <c r="GQ17" s="226"/>
      <c r="GR17" s="226"/>
      <c r="GS17" s="226"/>
      <c r="GT17" s="226"/>
      <c r="GU17" s="226"/>
      <c r="GV17" s="226"/>
      <c r="GW17" s="226"/>
      <c r="GX17" s="226"/>
      <c r="GY17" s="226"/>
      <c r="GZ17" s="226"/>
      <c r="HA17" s="226"/>
      <c r="HB17" s="226"/>
      <c r="HC17" s="226"/>
      <c r="HD17" s="226"/>
      <c r="HE17" s="226"/>
    </row>
    <row r="18" spans="1:249" s="151" customFormat="1" ht="12">
      <c r="A18" s="164">
        <v>16</v>
      </c>
      <c r="B18" s="166">
        <v>102567</v>
      </c>
      <c r="C18" s="166" t="s">
        <v>60</v>
      </c>
      <c r="D18" s="166" t="s">
        <v>45</v>
      </c>
      <c r="E18" s="165"/>
      <c r="F18" s="165"/>
      <c r="G18" s="165"/>
      <c r="H18" s="165"/>
      <c r="I18" s="165"/>
      <c r="J18" s="165">
        <v>0</v>
      </c>
      <c r="K18" s="165">
        <v>0</v>
      </c>
      <c r="L18" s="165">
        <v>0</v>
      </c>
      <c r="M18" s="165">
        <v>0</v>
      </c>
      <c r="N18" s="165">
        <f t="shared" si="3"/>
        <v>0</v>
      </c>
      <c r="O18" s="165">
        <f t="shared" si="4"/>
        <v>0</v>
      </c>
      <c r="P18" s="165">
        <f t="shared" si="25"/>
        <v>0</v>
      </c>
      <c r="Q18" s="165">
        <f t="shared" si="26"/>
        <v>0</v>
      </c>
      <c r="R18" s="188"/>
      <c r="S18" s="189"/>
      <c r="T18" s="189"/>
      <c r="U18" s="189"/>
      <c r="V18" s="188"/>
      <c r="W18" s="188">
        <f>VLOOKUP(B:B,[1]Sheet1!$F$1:$G$65536,2,0)</f>
        <v>1413.43</v>
      </c>
      <c r="X18" s="188">
        <f t="shared" si="5"/>
        <v>1413.43</v>
      </c>
      <c r="Y18" s="188">
        <f t="shared" si="6"/>
        <v>1413.43</v>
      </c>
      <c r="Z18" s="188">
        <f>W18*0.07</f>
        <v>98.940100000000001</v>
      </c>
      <c r="AA18" s="188"/>
      <c r="AB18" s="165"/>
      <c r="AC18" s="195"/>
      <c r="AD18" s="195"/>
      <c r="AE18" s="164"/>
      <c r="AF18" s="196"/>
      <c r="AG18" s="206">
        <f>VLOOKUP(B:B,[1]Sheet3!$G$1:$H$65536,2,0)</f>
        <v>8</v>
      </c>
      <c r="AH18" s="206">
        <f>VLOOKUP(B:B,[1]Sheet5!$E$1:$F$65536,2,0)</f>
        <v>1</v>
      </c>
      <c r="AI18" s="206">
        <f>VLOOKUP(B:B,[1]Sheet8!$G$1:$H$65536,2,0)</f>
        <v>8</v>
      </c>
      <c r="AJ18" s="206">
        <f t="shared" si="7"/>
        <v>17</v>
      </c>
      <c r="AK18" s="196">
        <f t="shared" si="8"/>
        <v>17</v>
      </c>
      <c r="AL18" s="196">
        <f t="shared" si="9"/>
        <v>17</v>
      </c>
      <c r="AM18" s="196">
        <f>AG18*1+AH18*0.5+AI18*2</f>
        <v>24.5</v>
      </c>
      <c r="AN18" s="196"/>
      <c r="AO18" s="166"/>
      <c r="AP18" s="166"/>
      <c r="AQ18" s="166"/>
      <c r="AR18" s="166"/>
      <c r="AS18" s="166"/>
      <c r="AT18" s="188">
        <f>VLOOKUP(B:B,[1]Sheet10!$F$1:$G$65536,2,0)</f>
        <v>42.99</v>
      </c>
      <c r="AU18" s="188">
        <f>VLOOKUP(B:B,[1]Sheet12!$G$1:$H$65536,2,0)</f>
        <v>75</v>
      </c>
      <c r="AV18" s="188">
        <f t="shared" si="10"/>
        <v>117.99</v>
      </c>
      <c r="AW18" s="188">
        <f t="shared" si="11"/>
        <v>117.99</v>
      </c>
      <c r="AX18" s="188">
        <f t="shared" si="12"/>
        <v>117.99</v>
      </c>
      <c r="AY18" s="166">
        <f>AT18*0.05+AU18*0.03</f>
        <v>4.3994999999999997</v>
      </c>
      <c r="AZ18" s="166"/>
      <c r="BA18" s="188"/>
      <c r="BB18" s="188">
        <f>VLOOKUP(B:B,[1]Sheet14!$G$1:$I$65536,3,0)</f>
        <v>2847</v>
      </c>
      <c r="BC18" s="188">
        <v>0</v>
      </c>
      <c r="BD18" s="188">
        <f t="shared" si="13"/>
        <v>2847</v>
      </c>
      <c r="BE18" s="188">
        <f t="shared" si="14"/>
        <v>2847</v>
      </c>
      <c r="BF18" s="188">
        <f t="shared" si="15"/>
        <v>284.7</v>
      </c>
      <c r="BG18" s="210"/>
      <c r="BH18" s="166"/>
      <c r="BI18" s="166"/>
      <c r="BJ18" s="166"/>
      <c r="BK18" s="166"/>
      <c r="BL18" s="166"/>
      <c r="BM18" s="188">
        <f>VLOOKUP(B:B,[1]Sheet17!$E$1:$F$65536,2,0)</f>
        <v>29.75</v>
      </c>
      <c r="BN18" s="188">
        <f t="shared" si="16"/>
        <v>29.75</v>
      </c>
      <c r="BO18" s="188">
        <f t="shared" si="17"/>
        <v>29.75</v>
      </c>
      <c r="BP18" s="188">
        <f>BM18*0.15</f>
        <v>4.4625000000000004</v>
      </c>
      <c r="BQ18" s="166"/>
      <c r="BR18" s="166"/>
      <c r="BS18" s="166"/>
      <c r="BT18" s="166"/>
      <c r="BU18" s="166"/>
      <c r="BV18" s="166"/>
      <c r="BW18" s="188">
        <f>VLOOKUP(B:B,[2]Sheet1!$G$1:$H$65536,2,0)</f>
        <v>8274.77</v>
      </c>
      <c r="BX18" s="188">
        <f t="shared" si="18"/>
        <v>8274.77</v>
      </c>
      <c r="BY18" s="188">
        <f t="shared" si="19"/>
        <v>8274.77</v>
      </c>
      <c r="BZ18" s="166">
        <f t="shared" si="27"/>
        <v>661.98159999999996</v>
      </c>
      <c r="CA18" s="174"/>
      <c r="CB18" s="188">
        <f t="shared" si="20"/>
        <v>1078.9837</v>
      </c>
      <c r="CC18" s="218">
        <f>VLOOKUP(B:B,[3]门店完成率!$A:$Y,25,0)</f>
        <v>0.82390464516129003</v>
      </c>
      <c r="CD18" s="188">
        <f>CB18*0.5+CB18*0.5*CC18</f>
        <v>983.98169124165804</v>
      </c>
      <c r="CE18" s="188">
        <f t="shared" si="21"/>
        <v>983.98</v>
      </c>
      <c r="CF18" s="188">
        <f t="shared" si="22"/>
        <v>0</v>
      </c>
      <c r="CG18" s="188">
        <f t="shared" si="23"/>
        <v>0</v>
      </c>
      <c r="CH18" s="152"/>
      <c r="CI18" s="152"/>
      <c r="CJ18" s="152"/>
      <c r="CK18" s="152"/>
      <c r="CL18" s="152"/>
      <c r="CM18" s="152"/>
      <c r="CN18" s="152"/>
      <c r="CO18" s="152"/>
      <c r="CP18" s="152"/>
      <c r="CQ18" s="152"/>
      <c r="CR18" s="152"/>
      <c r="CS18" s="152"/>
      <c r="CT18" s="152"/>
      <c r="CU18" s="152"/>
      <c r="CV18" s="152"/>
      <c r="CW18" s="152"/>
      <c r="CX18" s="152"/>
      <c r="CY18" s="152"/>
      <c r="CZ18" s="152"/>
      <c r="DA18" s="152"/>
      <c r="DB18" s="152"/>
      <c r="DC18" s="152"/>
      <c r="DD18" s="152"/>
      <c r="DE18" s="152"/>
      <c r="DF18" s="152"/>
      <c r="DG18" s="152"/>
      <c r="DH18" s="152"/>
      <c r="DI18" s="152"/>
      <c r="DJ18" s="152"/>
      <c r="DK18" s="152"/>
      <c r="DL18" s="152"/>
      <c r="DM18" s="152"/>
      <c r="DN18" s="152"/>
      <c r="DO18" s="152"/>
      <c r="DP18" s="152"/>
      <c r="DQ18" s="152"/>
      <c r="DR18" s="152"/>
      <c r="DS18" s="152"/>
      <c r="DT18" s="152"/>
      <c r="DU18" s="152"/>
      <c r="DV18" s="152"/>
      <c r="DW18" s="152"/>
      <c r="DX18" s="152"/>
      <c r="DY18" s="152"/>
      <c r="DZ18" s="152"/>
      <c r="EA18" s="152"/>
      <c r="EB18" s="152"/>
      <c r="EC18" s="152"/>
      <c r="ED18" s="152"/>
      <c r="EE18" s="152"/>
      <c r="EF18" s="152"/>
      <c r="EG18" s="152"/>
      <c r="EH18" s="152"/>
      <c r="EI18" s="152"/>
      <c r="EJ18" s="152"/>
      <c r="EK18" s="152"/>
      <c r="EL18" s="152"/>
      <c r="EM18" s="152"/>
      <c r="EN18" s="152"/>
      <c r="EO18" s="152"/>
      <c r="EP18" s="152"/>
      <c r="EQ18" s="152"/>
      <c r="ER18" s="152"/>
      <c r="ES18" s="152"/>
      <c r="ET18" s="152"/>
      <c r="EU18" s="152"/>
      <c r="EV18" s="152"/>
      <c r="EW18" s="152"/>
      <c r="EX18" s="152"/>
      <c r="EY18" s="152"/>
      <c r="EZ18" s="152"/>
      <c r="FA18" s="152"/>
      <c r="FB18" s="152"/>
      <c r="FC18" s="152"/>
      <c r="FD18" s="152"/>
      <c r="FE18" s="152"/>
      <c r="FF18" s="152"/>
      <c r="FG18" s="152"/>
      <c r="FH18" s="152"/>
      <c r="FI18" s="152"/>
      <c r="FJ18" s="152"/>
      <c r="FK18" s="152"/>
      <c r="FL18" s="227"/>
      <c r="FM18" s="227"/>
      <c r="FN18" s="227"/>
      <c r="FO18" s="227"/>
      <c r="FP18" s="227"/>
      <c r="FQ18" s="227"/>
      <c r="FR18" s="227"/>
      <c r="FS18" s="227"/>
      <c r="FT18" s="227"/>
      <c r="FU18" s="227"/>
      <c r="FV18" s="227"/>
      <c r="FW18" s="227"/>
      <c r="FX18" s="227"/>
      <c r="FY18" s="227"/>
      <c r="FZ18" s="227"/>
      <c r="GA18" s="227"/>
      <c r="GB18" s="227"/>
      <c r="GC18" s="227"/>
      <c r="GD18" s="227"/>
      <c r="GE18" s="227"/>
      <c r="GF18" s="227"/>
      <c r="GG18" s="227"/>
      <c r="GH18" s="227"/>
      <c r="GI18" s="227"/>
      <c r="GJ18" s="227"/>
      <c r="GK18" s="227"/>
      <c r="GL18" s="227"/>
      <c r="GM18" s="227"/>
      <c r="GN18" s="227"/>
      <c r="GO18" s="227"/>
      <c r="GP18" s="227"/>
      <c r="GQ18" s="227"/>
      <c r="GR18" s="227"/>
      <c r="GS18" s="227"/>
      <c r="GT18" s="227"/>
      <c r="GU18" s="227"/>
      <c r="GV18" s="227"/>
      <c r="GW18" s="227"/>
      <c r="GX18" s="227"/>
      <c r="GY18" s="227"/>
      <c r="GZ18" s="227"/>
      <c r="HA18" s="227"/>
      <c r="HB18" s="227"/>
      <c r="HC18" s="227"/>
      <c r="HD18" s="227"/>
      <c r="HE18" s="227"/>
    </row>
    <row r="19" spans="1:249" s="151" customFormat="1" ht="12">
      <c r="A19" s="164">
        <v>17</v>
      </c>
      <c r="B19" s="169">
        <v>102564</v>
      </c>
      <c r="C19" s="169" t="s">
        <v>61</v>
      </c>
      <c r="D19" s="166" t="s">
        <v>45</v>
      </c>
      <c r="E19" s="165"/>
      <c r="F19" s="165"/>
      <c r="G19" s="165"/>
      <c r="H19" s="165"/>
      <c r="I19" s="165"/>
      <c r="J19" s="165">
        <v>0</v>
      </c>
      <c r="K19" s="165">
        <v>0</v>
      </c>
      <c r="L19" s="165">
        <v>0</v>
      </c>
      <c r="M19" s="165">
        <v>0</v>
      </c>
      <c r="N19" s="165">
        <f t="shared" si="3"/>
        <v>0</v>
      </c>
      <c r="O19" s="165">
        <f t="shared" si="4"/>
        <v>0</v>
      </c>
      <c r="P19" s="165">
        <f t="shared" si="25"/>
        <v>0</v>
      </c>
      <c r="Q19" s="165">
        <f t="shared" si="26"/>
        <v>0</v>
      </c>
      <c r="R19" s="188"/>
      <c r="S19" s="189"/>
      <c r="T19" s="189"/>
      <c r="U19" s="189"/>
      <c r="V19" s="188"/>
      <c r="W19" s="188">
        <f>VLOOKUP(B:B,[1]Sheet1!$F$1:$G$65536,2,0)</f>
        <v>233.01</v>
      </c>
      <c r="X19" s="188">
        <f t="shared" si="5"/>
        <v>233.01</v>
      </c>
      <c r="Y19" s="188">
        <f t="shared" si="6"/>
        <v>233.01</v>
      </c>
      <c r="Z19" s="188">
        <f>W19*0.07</f>
        <v>16.310700000000001</v>
      </c>
      <c r="AA19" s="188"/>
      <c r="AB19" s="165"/>
      <c r="AC19" s="195"/>
      <c r="AD19" s="195"/>
      <c r="AE19" s="164"/>
      <c r="AF19" s="196"/>
      <c r="AG19" s="206">
        <f>VLOOKUP(B:B,[1]Sheet3!$G$1:$H$65536,2,0)</f>
        <v>17</v>
      </c>
      <c r="AH19" s="206">
        <f>VLOOKUP(B:B,[1]Sheet5!$E$1:$F$65536,2,0)</f>
        <v>4</v>
      </c>
      <c r="AI19" s="206">
        <f>VLOOKUP(B:B,[1]Sheet8!$G$1:$H$65536,2,0)</f>
        <v>30</v>
      </c>
      <c r="AJ19" s="206">
        <f t="shared" si="7"/>
        <v>51</v>
      </c>
      <c r="AK19" s="196">
        <f t="shared" si="8"/>
        <v>51</v>
      </c>
      <c r="AL19" s="196">
        <f t="shared" si="9"/>
        <v>51</v>
      </c>
      <c r="AM19" s="196">
        <f>AG19*1+AH19*0.5+AI19*2</f>
        <v>79</v>
      </c>
      <c r="AN19" s="196"/>
      <c r="AO19" s="166"/>
      <c r="AP19" s="166"/>
      <c r="AQ19" s="166"/>
      <c r="AR19" s="166"/>
      <c r="AS19" s="166"/>
      <c r="AT19" s="188">
        <f>VLOOKUP(B:B,[1]Sheet10!$F$1:$G$65536,2,0)</f>
        <v>207.5</v>
      </c>
      <c r="AU19" s="188"/>
      <c r="AV19" s="188">
        <f t="shared" si="10"/>
        <v>207.5</v>
      </c>
      <c r="AW19" s="188">
        <f t="shared" si="11"/>
        <v>207.5</v>
      </c>
      <c r="AX19" s="188">
        <f t="shared" si="12"/>
        <v>207.5</v>
      </c>
      <c r="AY19" s="166">
        <f>AT19*0.05+AU19*0.03</f>
        <v>10.375</v>
      </c>
      <c r="AZ19" s="166"/>
      <c r="BA19" s="188"/>
      <c r="BB19" s="188">
        <f>VLOOKUP(B:B,[1]Sheet14!$G$1:$I$65536,3,0)</f>
        <v>1673.2</v>
      </c>
      <c r="BC19" s="188">
        <v>14000</v>
      </c>
      <c r="BD19" s="188">
        <f t="shared" si="13"/>
        <v>15673.2</v>
      </c>
      <c r="BE19" s="188">
        <f t="shared" si="14"/>
        <v>15673.2</v>
      </c>
      <c r="BF19" s="188">
        <f t="shared" si="15"/>
        <v>587.32000000000005</v>
      </c>
      <c r="BG19" s="210"/>
      <c r="BH19" s="166"/>
      <c r="BI19" s="166"/>
      <c r="BJ19" s="166"/>
      <c r="BK19" s="166"/>
      <c r="BL19" s="166"/>
      <c r="BM19" s="188">
        <f>VLOOKUP(B:B,[1]Sheet17!$E$1:$F$65536,2,0)</f>
        <v>534.34</v>
      </c>
      <c r="BN19" s="188">
        <f t="shared" si="16"/>
        <v>534.34</v>
      </c>
      <c r="BO19" s="188">
        <f t="shared" si="17"/>
        <v>534.34</v>
      </c>
      <c r="BP19" s="188">
        <f>BM19*0.15</f>
        <v>80.150999999999996</v>
      </c>
      <c r="BQ19" s="166"/>
      <c r="BR19" s="166"/>
      <c r="BS19" s="166"/>
      <c r="BT19" s="166"/>
      <c r="BU19" s="166"/>
      <c r="BV19" s="166"/>
      <c r="BW19" s="188">
        <f>VLOOKUP(B:B,[2]Sheet1!$G$1:$H$65536,2,0)</f>
        <v>2234.23</v>
      </c>
      <c r="BX19" s="188">
        <f t="shared" si="18"/>
        <v>2234.23</v>
      </c>
      <c r="BY19" s="188">
        <f t="shared" si="19"/>
        <v>2234.23</v>
      </c>
      <c r="BZ19" s="166">
        <f t="shared" si="27"/>
        <v>178.73840000000001</v>
      </c>
      <c r="CA19" s="174"/>
      <c r="CB19" s="188">
        <f t="shared" si="20"/>
        <v>951.89509999999996</v>
      </c>
      <c r="CC19" s="218">
        <f>VLOOKUP(B:B,[3]门店完成率!$A:$Y,25,0)</f>
        <v>1.1583105376344101</v>
      </c>
      <c r="CD19" s="166">
        <f>CB19</f>
        <v>951.89509999999996</v>
      </c>
      <c r="CE19" s="188">
        <f t="shared" si="21"/>
        <v>951.9</v>
      </c>
      <c r="CF19" s="188">
        <f t="shared" si="22"/>
        <v>0</v>
      </c>
      <c r="CG19" s="188">
        <f t="shared" si="23"/>
        <v>0</v>
      </c>
      <c r="CH19" s="152"/>
      <c r="CI19" s="152"/>
      <c r="CJ19" s="152"/>
      <c r="CK19" s="152"/>
      <c r="CL19" s="152"/>
      <c r="CM19" s="152"/>
      <c r="CN19" s="152"/>
      <c r="CO19" s="152"/>
      <c r="CP19" s="152"/>
      <c r="CQ19" s="152"/>
      <c r="CR19" s="152"/>
      <c r="CS19" s="152"/>
      <c r="CT19" s="152"/>
      <c r="CU19" s="152"/>
      <c r="CV19" s="152"/>
      <c r="CW19" s="152"/>
      <c r="CX19" s="152"/>
      <c r="CY19" s="152"/>
      <c r="CZ19" s="152"/>
      <c r="DA19" s="152"/>
      <c r="DB19" s="152"/>
      <c r="DC19" s="152"/>
      <c r="DD19" s="152"/>
      <c r="DE19" s="152"/>
      <c r="DF19" s="152"/>
      <c r="DG19" s="152"/>
      <c r="DH19" s="152"/>
      <c r="DI19" s="152"/>
      <c r="DJ19" s="152"/>
      <c r="DK19" s="152"/>
      <c r="DL19" s="152"/>
      <c r="DM19" s="152"/>
      <c r="DN19" s="152"/>
      <c r="DO19" s="152"/>
      <c r="DP19" s="152"/>
      <c r="DQ19" s="152"/>
      <c r="DR19" s="152"/>
      <c r="DS19" s="152"/>
      <c r="DT19" s="152"/>
      <c r="DU19" s="152"/>
      <c r="DV19" s="152"/>
      <c r="DW19" s="152"/>
      <c r="DX19" s="152"/>
      <c r="DY19" s="152"/>
      <c r="DZ19" s="152"/>
      <c r="EA19" s="152"/>
      <c r="EB19" s="152"/>
      <c r="EC19" s="152"/>
      <c r="ED19" s="152"/>
      <c r="EE19" s="152"/>
      <c r="EF19" s="152"/>
      <c r="EG19" s="152"/>
      <c r="EH19" s="152"/>
      <c r="EI19" s="152"/>
      <c r="EJ19" s="152"/>
      <c r="EK19" s="152"/>
      <c r="EL19" s="152"/>
      <c r="EM19" s="152"/>
      <c r="EN19" s="152"/>
      <c r="EO19" s="152"/>
      <c r="EP19" s="152"/>
      <c r="EQ19" s="152"/>
      <c r="ER19" s="152"/>
      <c r="ES19" s="152"/>
      <c r="ET19" s="152"/>
      <c r="EU19" s="152"/>
      <c r="EV19" s="152"/>
      <c r="EW19" s="152"/>
      <c r="EX19" s="152"/>
      <c r="EY19" s="152"/>
      <c r="EZ19" s="152"/>
      <c r="FA19" s="152"/>
      <c r="FB19" s="152"/>
      <c r="FC19" s="152"/>
      <c r="FD19" s="152"/>
      <c r="FE19" s="152"/>
      <c r="FF19" s="152"/>
      <c r="FG19" s="152"/>
      <c r="FH19" s="152"/>
      <c r="FI19" s="152"/>
      <c r="FJ19" s="152"/>
      <c r="FK19" s="152"/>
      <c r="FL19" s="227"/>
      <c r="FM19" s="227"/>
      <c r="FN19" s="227"/>
      <c r="FO19" s="227"/>
      <c r="FP19" s="227"/>
      <c r="FQ19" s="227"/>
      <c r="FR19" s="227"/>
      <c r="FS19" s="227"/>
      <c r="FT19" s="227"/>
      <c r="FU19" s="227"/>
      <c r="FV19" s="227"/>
      <c r="FW19" s="227"/>
      <c r="FX19" s="227"/>
      <c r="FY19" s="227"/>
      <c r="FZ19" s="227"/>
      <c r="GA19" s="227"/>
      <c r="GB19" s="227"/>
      <c r="GC19" s="227"/>
      <c r="GD19" s="227"/>
      <c r="GE19" s="227"/>
      <c r="GF19" s="227"/>
      <c r="GG19" s="227"/>
      <c r="GH19" s="227"/>
      <c r="GI19" s="227"/>
      <c r="GJ19" s="227"/>
      <c r="GK19" s="227"/>
      <c r="GL19" s="227"/>
      <c r="GM19" s="227"/>
      <c r="GN19" s="227"/>
      <c r="GO19" s="227"/>
      <c r="GP19" s="227"/>
      <c r="GQ19" s="227"/>
      <c r="GR19" s="227"/>
      <c r="GS19" s="227"/>
      <c r="GT19" s="227"/>
      <c r="GU19" s="227"/>
      <c r="GV19" s="227"/>
      <c r="GW19" s="227"/>
      <c r="GX19" s="227"/>
      <c r="GY19" s="227"/>
      <c r="GZ19" s="227"/>
      <c r="HA19" s="227"/>
      <c r="HB19" s="227"/>
      <c r="HC19" s="227"/>
      <c r="HD19" s="227"/>
      <c r="HE19" s="227"/>
    </row>
    <row r="20" spans="1:249" s="153" customFormat="1" ht="12.95" customHeight="1">
      <c r="A20" s="170"/>
      <c r="B20" s="170"/>
      <c r="C20" s="170"/>
      <c r="D20" s="170" t="s">
        <v>45</v>
      </c>
      <c r="E20" s="171">
        <f>SUM(E3:E19)</f>
        <v>28</v>
      </c>
      <c r="F20" s="171">
        <f t="shared" ref="F20:AK20" si="28">SUM(F3:F19)</f>
        <v>43</v>
      </c>
      <c r="G20" s="171">
        <f t="shared" si="28"/>
        <v>58</v>
      </c>
      <c r="H20" s="171">
        <f t="shared" si="28"/>
        <v>15</v>
      </c>
      <c r="I20" s="171">
        <f t="shared" si="28"/>
        <v>28</v>
      </c>
      <c r="J20" s="171">
        <f t="shared" si="28"/>
        <v>10.536</v>
      </c>
      <c r="K20" s="171">
        <f t="shared" si="28"/>
        <v>5.5359999999999996</v>
      </c>
      <c r="L20" s="171">
        <f t="shared" si="28"/>
        <v>6</v>
      </c>
      <c r="M20" s="171">
        <f t="shared" si="28"/>
        <v>-1</v>
      </c>
      <c r="N20" s="171">
        <f t="shared" si="28"/>
        <v>-17.463999999999999</v>
      </c>
      <c r="O20" s="171">
        <f t="shared" si="28"/>
        <v>-17.463999999999999</v>
      </c>
      <c r="P20" s="171">
        <f t="shared" si="28"/>
        <v>528.24</v>
      </c>
      <c r="Q20" s="171">
        <f t="shared" si="28"/>
        <v>-300</v>
      </c>
      <c r="R20" s="171">
        <f t="shared" si="28"/>
        <v>39421</v>
      </c>
      <c r="S20" s="171">
        <f t="shared" si="28"/>
        <v>43363.1</v>
      </c>
      <c r="T20" s="171">
        <f t="shared" si="28"/>
        <v>47305.2</v>
      </c>
      <c r="U20" s="171">
        <f t="shared" si="28"/>
        <v>21</v>
      </c>
      <c r="V20" s="171">
        <f t="shared" si="28"/>
        <v>41578.1</v>
      </c>
      <c r="W20" s="171">
        <f t="shared" si="28"/>
        <v>45539.06</v>
      </c>
      <c r="X20" s="171">
        <f t="shared" si="28"/>
        <v>6118.06</v>
      </c>
      <c r="Y20" s="171">
        <f t="shared" si="28"/>
        <v>3960.96</v>
      </c>
      <c r="Z20" s="171">
        <f t="shared" si="28"/>
        <v>3049.4445000000001</v>
      </c>
      <c r="AA20" s="171">
        <f t="shared" si="28"/>
        <v>-191.85650000000001</v>
      </c>
      <c r="AB20" s="171">
        <f t="shared" si="28"/>
        <v>1095</v>
      </c>
      <c r="AC20" s="171">
        <f t="shared" si="28"/>
        <v>1206</v>
      </c>
      <c r="AD20" s="171">
        <f t="shared" si="28"/>
        <v>1315</v>
      </c>
      <c r="AE20" s="171">
        <f t="shared" si="28"/>
        <v>26</v>
      </c>
      <c r="AF20" s="171">
        <f t="shared" si="28"/>
        <v>1199</v>
      </c>
      <c r="AG20" s="171">
        <f t="shared" si="28"/>
        <v>530</v>
      </c>
      <c r="AH20" s="171">
        <f t="shared" si="28"/>
        <v>101</v>
      </c>
      <c r="AI20" s="171">
        <f t="shared" si="28"/>
        <v>684</v>
      </c>
      <c r="AJ20" s="171">
        <f t="shared" si="28"/>
        <v>1315</v>
      </c>
      <c r="AK20" s="171">
        <f t="shared" si="28"/>
        <v>220</v>
      </c>
      <c r="AL20" s="171">
        <f t="shared" ref="AL20:BQ20" si="29">SUM(AL3:AL19)</f>
        <v>116</v>
      </c>
      <c r="AM20" s="171">
        <f t="shared" si="29"/>
        <v>2662</v>
      </c>
      <c r="AN20" s="171">
        <f t="shared" si="29"/>
        <v>-121</v>
      </c>
      <c r="AO20" s="171">
        <f t="shared" si="29"/>
        <v>6579.9</v>
      </c>
      <c r="AP20" s="171">
        <f t="shared" si="29"/>
        <v>7237.89</v>
      </c>
      <c r="AQ20" s="171">
        <f t="shared" si="29"/>
        <v>7895.88</v>
      </c>
      <c r="AR20" s="171">
        <f t="shared" si="29"/>
        <v>17</v>
      </c>
      <c r="AS20" s="171">
        <f t="shared" si="29"/>
        <v>6646.5</v>
      </c>
      <c r="AT20" s="171">
        <f t="shared" si="29"/>
        <v>3371.44</v>
      </c>
      <c r="AU20" s="171">
        <f t="shared" si="29"/>
        <v>2549.66</v>
      </c>
      <c r="AV20" s="171">
        <f t="shared" si="29"/>
        <v>5921.1</v>
      </c>
      <c r="AW20" s="171">
        <f t="shared" si="29"/>
        <v>-658.8</v>
      </c>
      <c r="AX20" s="171">
        <f t="shared" si="29"/>
        <v>-725.4</v>
      </c>
      <c r="AY20" s="171">
        <f t="shared" si="29"/>
        <v>170.70699999999999</v>
      </c>
      <c r="AZ20" s="171">
        <f t="shared" si="29"/>
        <v>-75.001599999999996</v>
      </c>
      <c r="BA20" s="171">
        <f t="shared" si="29"/>
        <v>107037.1</v>
      </c>
      <c r="BB20" s="171">
        <f t="shared" si="29"/>
        <v>136273.68</v>
      </c>
      <c r="BC20" s="171">
        <f t="shared" si="29"/>
        <v>14113.85</v>
      </c>
      <c r="BD20" s="171">
        <f t="shared" si="29"/>
        <v>150387.53</v>
      </c>
      <c r="BE20" s="171">
        <f t="shared" si="29"/>
        <v>43350.430000000102</v>
      </c>
      <c r="BF20" s="171">
        <f t="shared" si="29"/>
        <v>14050.7835</v>
      </c>
      <c r="BG20" s="171">
        <f t="shared" si="29"/>
        <v>-483.92399999999998</v>
      </c>
      <c r="BH20" s="171">
        <f t="shared" si="29"/>
        <v>21403.439999999999</v>
      </c>
      <c r="BI20" s="171">
        <f t="shared" si="29"/>
        <v>23543.784</v>
      </c>
      <c r="BJ20" s="171">
        <f t="shared" si="29"/>
        <v>25684.128000000001</v>
      </c>
      <c r="BK20" s="171">
        <f t="shared" si="29"/>
        <v>20</v>
      </c>
      <c r="BL20" s="171">
        <f t="shared" si="29"/>
        <v>22157.628000000001</v>
      </c>
      <c r="BM20" s="171">
        <f t="shared" si="29"/>
        <v>18205.759999999998</v>
      </c>
      <c r="BN20" s="171">
        <f t="shared" si="29"/>
        <v>-3197.68</v>
      </c>
      <c r="BO20" s="171">
        <f t="shared" si="29"/>
        <v>-3951.8679999999999</v>
      </c>
      <c r="BP20" s="171">
        <f t="shared" si="29"/>
        <v>3157.7730000000001</v>
      </c>
      <c r="BQ20" s="171">
        <f t="shared" si="29"/>
        <v>-384.53699999999998</v>
      </c>
      <c r="BR20" s="171">
        <f t="shared" ref="BR20:CG20" si="30">SUM(BR3:BR19)</f>
        <v>232650.9</v>
      </c>
      <c r="BS20" s="171">
        <f t="shared" si="30"/>
        <v>255915.99</v>
      </c>
      <c r="BT20" s="171">
        <f t="shared" si="30"/>
        <v>279181.08</v>
      </c>
      <c r="BU20" s="171">
        <f t="shared" si="30"/>
        <v>24</v>
      </c>
      <c r="BV20" s="171">
        <f t="shared" si="30"/>
        <v>245655.45</v>
      </c>
      <c r="BW20" s="171">
        <f t="shared" si="30"/>
        <v>217609.09</v>
      </c>
      <c r="BX20" s="171">
        <f t="shared" si="30"/>
        <v>-15041.81</v>
      </c>
      <c r="BY20" s="171">
        <f t="shared" si="30"/>
        <v>-28046.36</v>
      </c>
      <c r="BZ20" s="171">
        <f t="shared" si="30"/>
        <v>19352.897400000002</v>
      </c>
      <c r="CA20" s="171">
        <f t="shared" si="30"/>
        <v>-2026.3585</v>
      </c>
      <c r="CB20" s="171">
        <f t="shared" si="30"/>
        <v>42971.845399999998</v>
      </c>
      <c r="CC20" s="171">
        <f t="shared" si="30"/>
        <v>15.942829366254101</v>
      </c>
      <c r="CD20" s="171">
        <f t="shared" si="30"/>
        <v>41711.296138259298</v>
      </c>
      <c r="CE20" s="171">
        <f t="shared" si="30"/>
        <v>41711.31</v>
      </c>
      <c r="CF20" s="171">
        <f t="shared" si="30"/>
        <v>-3582.6776</v>
      </c>
      <c r="CG20" s="171">
        <f t="shared" si="30"/>
        <v>-3582.68</v>
      </c>
      <c r="CH20" s="222"/>
      <c r="CI20" s="222"/>
      <c r="CJ20" s="222"/>
      <c r="CK20" s="222"/>
      <c r="CL20" s="222"/>
      <c r="CM20" s="222"/>
      <c r="CN20" s="222"/>
      <c r="FV20" s="160"/>
      <c r="FW20" s="160"/>
      <c r="FX20" s="160"/>
      <c r="FY20" s="160"/>
      <c r="FZ20" s="160"/>
      <c r="GA20" s="160"/>
      <c r="GB20" s="160"/>
      <c r="GC20" s="160"/>
      <c r="GD20" s="160"/>
      <c r="GE20" s="160"/>
      <c r="GF20" s="160"/>
      <c r="GG20" s="160"/>
      <c r="GH20" s="160"/>
      <c r="GI20" s="160"/>
      <c r="GJ20" s="160"/>
      <c r="GK20" s="160"/>
      <c r="GL20" s="160"/>
      <c r="GM20" s="160"/>
      <c r="GN20" s="160"/>
      <c r="GO20" s="160"/>
      <c r="GP20" s="160"/>
      <c r="GQ20" s="160"/>
      <c r="GR20" s="160"/>
      <c r="GS20" s="160"/>
      <c r="GT20" s="160"/>
      <c r="GU20" s="160"/>
      <c r="GV20" s="160"/>
      <c r="GW20" s="160"/>
      <c r="GX20" s="160"/>
      <c r="GY20" s="160"/>
      <c r="GZ20" s="160"/>
      <c r="HA20" s="160"/>
      <c r="HB20" s="160"/>
      <c r="HC20" s="160"/>
      <c r="HD20" s="160"/>
      <c r="HE20" s="160"/>
      <c r="HF20" s="160"/>
      <c r="HG20" s="160"/>
      <c r="HH20" s="160"/>
      <c r="HI20" s="160"/>
      <c r="HJ20" s="160"/>
      <c r="HK20" s="160"/>
      <c r="HL20" s="160"/>
      <c r="HM20" s="160"/>
      <c r="HN20" s="160"/>
      <c r="HO20" s="160"/>
      <c r="HP20" s="160"/>
      <c r="HQ20" s="160"/>
      <c r="HR20" s="160"/>
      <c r="HS20" s="160"/>
      <c r="HT20" s="160"/>
      <c r="HU20" s="160"/>
      <c r="HV20" s="160"/>
      <c r="HW20" s="160"/>
      <c r="HX20" s="160"/>
      <c r="HY20" s="160"/>
      <c r="HZ20" s="160"/>
      <c r="IA20" s="160"/>
      <c r="IB20" s="160"/>
      <c r="IC20" s="160"/>
      <c r="ID20" s="160"/>
      <c r="IE20" s="160"/>
      <c r="IF20" s="160"/>
      <c r="IG20" s="160"/>
      <c r="IH20" s="160"/>
      <c r="II20" s="160"/>
      <c r="IJ20" s="160"/>
      <c r="IK20" s="160"/>
      <c r="IL20" s="160"/>
      <c r="IM20" s="160"/>
      <c r="IN20" s="160"/>
      <c r="IO20" s="160"/>
    </row>
    <row r="21" spans="1:249" s="154" customFormat="1" ht="12.95" customHeight="1">
      <c r="A21" s="172">
        <v>18</v>
      </c>
      <c r="B21" s="172">
        <v>52</v>
      </c>
      <c r="C21" s="172" t="s">
        <v>62</v>
      </c>
      <c r="D21" s="172" t="s">
        <v>63</v>
      </c>
      <c r="E21" s="173">
        <v>3</v>
      </c>
      <c r="F21" s="173">
        <v>4</v>
      </c>
      <c r="G21" s="173">
        <v>5</v>
      </c>
      <c r="H21" s="173">
        <v>1</v>
      </c>
      <c r="I21" s="173">
        <v>3</v>
      </c>
      <c r="J21" s="165">
        <v>1</v>
      </c>
      <c r="K21" s="165">
        <f>VLOOKUP(B:B,[5]Sheet1!$I$1:$K$65536,3,0)</f>
        <v>1</v>
      </c>
      <c r="L21" s="165">
        <f>VLOOKUP(B:B,[5]Sheet1!$I$1:$M$65536,5,0)</f>
        <v>0</v>
      </c>
      <c r="M21" s="165">
        <f>VLOOKUP(B:B,[5]Sheet1!$I$1:$N$65536,6,0)</f>
        <v>0</v>
      </c>
      <c r="N21" s="165">
        <f t="shared" si="3"/>
        <v>-2</v>
      </c>
      <c r="O21" s="165">
        <f t="shared" si="4"/>
        <v>-2</v>
      </c>
      <c r="P21" s="165">
        <f t="shared" si="25"/>
        <v>70</v>
      </c>
      <c r="Q21" s="165">
        <f t="shared" si="26"/>
        <v>-30</v>
      </c>
      <c r="R21" s="190">
        <v>3281</v>
      </c>
      <c r="S21" s="11">
        <v>3609.1</v>
      </c>
      <c r="T21" s="11">
        <v>3937.2</v>
      </c>
      <c r="U21" s="11">
        <v>1</v>
      </c>
      <c r="V21" s="190">
        <v>3281</v>
      </c>
      <c r="W21" s="188">
        <f>VLOOKUP(B:B,[1]Sheet1!$F$1:$G$65536,2,0)</f>
        <v>1802.26</v>
      </c>
      <c r="X21" s="188">
        <f t="shared" si="5"/>
        <v>-1478.74</v>
      </c>
      <c r="Y21" s="188">
        <f t="shared" si="6"/>
        <v>-1478.74</v>
      </c>
      <c r="Z21" s="190"/>
      <c r="AA21" s="197">
        <f>X21*0.05</f>
        <v>-73.936999999999998</v>
      </c>
      <c r="AB21" s="173">
        <v>91</v>
      </c>
      <c r="AC21" s="198">
        <v>100</v>
      </c>
      <c r="AD21" s="198">
        <v>109</v>
      </c>
      <c r="AE21" s="178">
        <v>1</v>
      </c>
      <c r="AF21" s="199">
        <v>91</v>
      </c>
      <c r="AG21" s="206">
        <f>VLOOKUP(B:B,[1]Sheet3!$G$1:$H$65536,2,0)</f>
        <v>44</v>
      </c>
      <c r="AH21" s="206">
        <f>VLOOKUP(B:B,[1]Sheet5!$E$1:$F$65536,2,0)</f>
        <v>5</v>
      </c>
      <c r="AI21" s="206">
        <f>VLOOKUP(B:B,[1]Sheet8!$G$1:$H$65536,2,0)</f>
        <v>42</v>
      </c>
      <c r="AJ21" s="206">
        <f t="shared" si="7"/>
        <v>91</v>
      </c>
      <c r="AK21" s="196">
        <f t="shared" si="8"/>
        <v>0</v>
      </c>
      <c r="AL21" s="196">
        <f t="shared" si="9"/>
        <v>0</v>
      </c>
      <c r="AM21" s="196">
        <f>AG21*1+AH21*0.5+AI21*2</f>
        <v>130.5</v>
      </c>
      <c r="AN21" s="199"/>
      <c r="AO21" s="172">
        <v>548.1</v>
      </c>
      <c r="AP21" s="172">
        <v>602.91</v>
      </c>
      <c r="AQ21" s="172">
        <v>657.72</v>
      </c>
      <c r="AR21" s="172">
        <v>1</v>
      </c>
      <c r="AS21" s="172">
        <v>548.1</v>
      </c>
      <c r="AT21" s="188">
        <f>VLOOKUP(B:B,[1]Sheet10!$F$1:$G$65536,2,0)</f>
        <v>46.8</v>
      </c>
      <c r="AU21" s="188">
        <f>VLOOKUP(B:B,[1]Sheet12!$G$1:$H$65536,2,0)</f>
        <v>377.6</v>
      </c>
      <c r="AV21" s="188">
        <f t="shared" si="10"/>
        <v>424.4</v>
      </c>
      <c r="AW21" s="188">
        <f t="shared" si="11"/>
        <v>-123.7</v>
      </c>
      <c r="AX21" s="188">
        <f t="shared" si="12"/>
        <v>-123.7</v>
      </c>
      <c r="AY21" s="172"/>
      <c r="AZ21" s="188">
        <f>AW21*0.04</f>
        <v>-4.9480000000000004</v>
      </c>
      <c r="BA21" s="190">
        <f>VLOOKUP(B:B,[6]查询时间段分门店销售明细!$B$1:$X$65536,23,0)</f>
        <v>7884.06</v>
      </c>
      <c r="BB21" s="188">
        <f>VLOOKUP(B:B,[1]Sheet14!$G$1:$I$65536,3,0)</f>
        <v>10906.1</v>
      </c>
      <c r="BC21" s="188">
        <v>20.7</v>
      </c>
      <c r="BD21" s="188">
        <f t="shared" si="13"/>
        <v>10926.8</v>
      </c>
      <c r="BE21" s="188">
        <f t="shared" si="14"/>
        <v>3042.74</v>
      </c>
      <c r="BF21" s="188">
        <f t="shared" si="15"/>
        <v>1091.231</v>
      </c>
      <c r="BG21" s="172"/>
      <c r="BH21" s="172">
        <v>1675.44</v>
      </c>
      <c r="BI21" s="172">
        <v>1842.9839999999999</v>
      </c>
      <c r="BJ21" s="172">
        <v>2010.528</v>
      </c>
      <c r="BK21" s="172">
        <v>3</v>
      </c>
      <c r="BL21" s="172">
        <v>2010.528</v>
      </c>
      <c r="BM21" s="188">
        <f>VLOOKUP(B:B,[1]Sheet17!$E$1:$F$65536,2,0)</f>
        <v>2374</v>
      </c>
      <c r="BN21" s="188">
        <f t="shared" si="16"/>
        <v>698.56</v>
      </c>
      <c r="BO21" s="188">
        <f t="shared" si="17"/>
        <v>363.47199999999998</v>
      </c>
      <c r="BP21" s="188">
        <f>BM21*0.25</f>
        <v>593.5</v>
      </c>
      <c r="BQ21" s="172"/>
      <c r="BR21" s="172">
        <v>11778.3</v>
      </c>
      <c r="BS21" s="172">
        <v>12956.13</v>
      </c>
      <c r="BT21" s="172">
        <v>14133.96</v>
      </c>
      <c r="BU21" s="172">
        <v>2</v>
      </c>
      <c r="BV21" s="172">
        <v>12956.13</v>
      </c>
      <c r="BW21" s="188">
        <f>VLOOKUP(B:B,[2]Sheet1!$G$1:$H$65536,2,0)</f>
        <v>13346.03</v>
      </c>
      <c r="BX21" s="188">
        <f t="shared" si="18"/>
        <v>1567.73</v>
      </c>
      <c r="BY21" s="188">
        <f t="shared" si="19"/>
        <v>389.900000000001</v>
      </c>
      <c r="BZ21" s="188">
        <f>BW21*0.1</f>
        <v>1334.6030000000001</v>
      </c>
      <c r="CA21" s="172"/>
      <c r="CB21" s="188">
        <f t="shared" si="20"/>
        <v>3219.8339999999998</v>
      </c>
      <c r="CC21" s="218">
        <f>VLOOKUP(B:B,[3]门店完成率!$A:$Y,25,0)</f>
        <v>0.87070712799167505</v>
      </c>
      <c r="CD21" s="188">
        <f t="shared" ref="CD21:CD26" si="31">CB21*0.5+CB21*0.5*CC21</f>
        <v>3011.6832073749702</v>
      </c>
      <c r="CE21" s="188">
        <f t="shared" ref="CE21:CE52" si="32">ROUND(CD21,2)</f>
        <v>3011.68</v>
      </c>
      <c r="CF21" s="188">
        <f t="shared" si="22"/>
        <v>-108.88500000000001</v>
      </c>
      <c r="CG21" s="188">
        <f t="shared" ref="CG21:CG52" si="33">ROUND(CF21,2)</f>
        <v>-108.89</v>
      </c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</row>
    <row r="22" spans="1:249" s="154" customFormat="1" ht="12.95" customHeight="1">
      <c r="A22" s="172">
        <v>19</v>
      </c>
      <c r="B22" s="172">
        <v>54</v>
      </c>
      <c r="C22" s="172" t="s">
        <v>64</v>
      </c>
      <c r="D22" s="172" t="s">
        <v>63</v>
      </c>
      <c r="E22" s="173">
        <v>6</v>
      </c>
      <c r="F22" s="173">
        <v>7</v>
      </c>
      <c r="G22" s="173">
        <v>8</v>
      </c>
      <c r="H22" s="173">
        <v>3</v>
      </c>
      <c r="I22" s="173">
        <v>8</v>
      </c>
      <c r="J22" s="165">
        <v>1</v>
      </c>
      <c r="K22" s="165">
        <f>VLOOKUP(B:B,[5]Sheet1!$I$1:$K$65536,3,0)</f>
        <v>1</v>
      </c>
      <c r="L22" s="165">
        <f>VLOOKUP(B:B,[5]Sheet1!$I$1:$M$65536,5,0)</f>
        <v>0</v>
      </c>
      <c r="M22" s="165">
        <f>VLOOKUP(B:B,[5]Sheet1!$I$1:$N$65536,6,0)</f>
        <v>0</v>
      </c>
      <c r="N22" s="165">
        <f t="shared" si="3"/>
        <v>-5</v>
      </c>
      <c r="O22" s="165">
        <f t="shared" si="4"/>
        <v>-7</v>
      </c>
      <c r="P22" s="165">
        <f t="shared" si="25"/>
        <v>70</v>
      </c>
      <c r="Q22" s="165">
        <f t="shared" si="26"/>
        <v>-75</v>
      </c>
      <c r="R22" s="190">
        <v>5780</v>
      </c>
      <c r="S22" s="11">
        <v>6358</v>
      </c>
      <c r="T22" s="11">
        <v>6936</v>
      </c>
      <c r="U22" s="11">
        <v>1</v>
      </c>
      <c r="V22" s="190">
        <v>5780</v>
      </c>
      <c r="W22" s="188">
        <f>VLOOKUP(B:B,[1]Sheet1!$F$1:$G$65536,2,0)</f>
        <v>2497.8200000000002</v>
      </c>
      <c r="X22" s="188">
        <f t="shared" si="5"/>
        <v>-3282.18</v>
      </c>
      <c r="Y22" s="188">
        <f t="shared" si="6"/>
        <v>-3282.18</v>
      </c>
      <c r="Z22" s="190"/>
      <c r="AA22" s="197">
        <f>X22*0.05</f>
        <v>-164.10900000000001</v>
      </c>
      <c r="AB22" s="173">
        <v>93</v>
      </c>
      <c r="AC22" s="198">
        <v>102</v>
      </c>
      <c r="AD22" s="198">
        <v>112</v>
      </c>
      <c r="AE22" s="178">
        <v>1</v>
      </c>
      <c r="AF22" s="199">
        <v>93</v>
      </c>
      <c r="AG22" s="206">
        <f>VLOOKUP(B:B,[1]Sheet3!$G$1:$H$65536,2,0)</f>
        <v>52</v>
      </c>
      <c r="AH22" s="206">
        <f>VLOOKUP(B:B,[1]Sheet5!$E$1:$F$65536,2,0)</f>
        <v>3</v>
      </c>
      <c r="AI22" s="206">
        <f>VLOOKUP(B:B,[1]Sheet8!$G$1:$H$65536,2,0)</f>
        <v>35</v>
      </c>
      <c r="AJ22" s="206">
        <f t="shared" si="7"/>
        <v>90</v>
      </c>
      <c r="AK22" s="196">
        <f t="shared" si="8"/>
        <v>-3</v>
      </c>
      <c r="AL22" s="196">
        <f t="shared" si="9"/>
        <v>-3</v>
      </c>
      <c r="AM22" s="199"/>
      <c r="AN22" s="196">
        <f>AK22*1</f>
        <v>-3</v>
      </c>
      <c r="AO22" s="172">
        <v>544.5</v>
      </c>
      <c r="AP22" s="172">
        <v>598.95000000000005</v>
      </c>
      <c r="AQ22" s="172">
        <v>653.4</v>
      </c>
      <c r="AR22" s="172">
        <v>1</v>
      </c>
      <c r="AS22" s="172">
        <v>544.5</v>
      </c>
      <c r="AT22" s="188">
        <f>VLOOKUP(B:B,[1]Sheet10!$F$1:$G$65536,2,0)</f>
        <v>104.6</v>
      </c>
      <c r="AU22" s="188">
        <f>VLOOKUP(B:B,[1]Sheet12!$G$1:$H$65536,2,0)</f>
        <v>291.83999999999997</v>
      </c>
      <c r="AV22" s="188">
        <f t="shared" si="10"/>
        <v>396.44</v>
      </c>
      <c r="AW22" s="188">
        <f t="shared" si="11"/>
        <v>-148.06</v>
      </c>
      <c r="AX22" s="188">
        <f t="shared" si="12"/>
        <v>-148.06</v>
      </c>
      <c r="AY22" s="172"/>
      <c r="AZ22" s="188">
        <f>AW22*0.04</f>
        <v>-5.9223999999999997</v>
      </c>
      <c r="BA22" s="190">
        <f>VLOOKUP(B:B,[7]查询时间段分门店销售明细!$B$1:$X$65536,23,0)</f>
        <v>7991.74</v>
      </c>
      <c r="BB22" s="188">
        <f>VLOOKUP(B:B,[1]Sheet14!$G$1:$I$65536,3,0)</f>
        <v>7546.1500000000196</v>
      </c>
      <c r="BC22" s="188">
        <v>0</v>
      </c>
      <c r="BD22" s="188">
        <f t="shared" si="13"/>
        <v>7546.1500000000196</v>
      </c>
      <c r="BE22" s="188">
        <f t="shared" si="14"/>
        <v>-445.58999999998002</v>
      </c>
      <c r="BF22" s="188">
        <f t="shared" si="15"/>
        <v>754.61500000000206</v>
      </c>
      <c r="BG22" s="210">
        <f>BE22*0.03</f>
        <v>-13.367699999999401</v>
      </c>
      <c r="BH22" s="172">
        <v>1659.6</v>
      </c>
      <c r="BI22" s="172">
        <v>1825.56</v>
      </c>
      <c r="BJ22" s="172">
        <v>1991.52</v>
      </c>
      <c r="BK22" s="172">
        <v>3</v>
      </c>
      <c r="BL22" s="172">
        <v>1991.52</v>
      </c>
      <c r="BM22" s="188">
        <f>VLOOKUP(B:B,[1]Sheet17!$E$1:$F$65536,2,0)</f>
        <v>1759.46</v>
      </c>
      <c r="BN22" s="188">
        <f t="shared" si="16"/>
        <v>99.860000000000099</v>
      </c>
      <c r="BO22" s="188">
        <f t="shared" si="17"/>
        <v>-232.06</v>
      </c>
      <c r="BP22" s="188">
        <f>BM22*0.15</f>
        <v>263.91899999999998</v>
      </c>
      <c r="BQ22" s="188"/>
      <c r="BR22" s="172">
        <v>24984.9</v>
      </c>
      <c r="BS22" s="172">
        <v>27483.39</v>
      </c>
      <c r="BT22" s="172">
        <v>29981.88</v>
      </c>
      <c r="BU22" s="172">
        <v>3</v>
      </c>
      <c r="BV22" s="172">
        <v>29981.88</v>
      </c>
      <c r="BW22" s="188">
        <f>VLOOKUP(B:B,[2]Sheet1!$G$1:$H$65536,2,0)</f>
        <v>16882.21</v>
      </c>
      <c r="BX22" s="188">
        <f t="shared" si="18"/>
        <v>-8102.69</v>
      </c>
      <c r="BY22" s="188">
        <f t="shared" si="19"/>
        <v>-13099.67</v>
      </c>
      <c r="BZ22" s="166">
        <f>BW22*0.08</f>
        <v>1350.5768</v>
      </c>
      <c r="CA22" s="174">
        <f>BX22*0.05</f>
        <v>-405.1345</v>
      </c>
      <c r="CB22" s="188">
        <f t="shared" si="20"/>
        <v>2439.1107999999999</v>
      </c>
      <c r="CC22" s="218">
        <f>VLOOKUP(B:B,[3]门店完成率!$A:$Y,25,0)</f>
        <v>0.75734829493087596</v>
      </c>
      <c r="CD22" s="188">
        <f t="shared" si="31"/>
        <v>2143.1836027637401</v>
      </c>
      <c r="CE22" s="188">
        <f t="shared" si="32"/>
        <v>2143.1799999999998</v>
      </c>
      <c r="CF22" s="188">
        <f t="shared" si="22"/>
        <v>-666.53359999999998</v>
      </c>
      <c r="CG22" s="188">
        <f t="shared" si="33"/>
        <v>-666.53</v>
      </c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</row>
    <row r="23" spans="1:249" s="154" customFormat="1" ht="12.95" customHeight="1">
      <c r="A23" s="172">
        <v>20</v>
      </c>
      <c r="B23" s="172">
        <v>56</v>
      </c>
      <c r="C23" s="172" t="s">
        <v>65</v>
      </c>
      <c r="D23" s="172" t="s">
        <v>63</v>
      </c>
      <c r="E23" s="173">
        <v>2</v>
      </c>
      <c r="F23" s="173">
        <v>3</v>
      </c>
      <c r="G23" s="173">
        <v>4</v>
      </c>
      <c r="H23" s="173">
        <v>1</v>
      </c>
      <c r="I23" s="173">
        <v>2</v>
      </c>
      <c r="J23" s="165">
        <v>0</v>
      </c>
      <c r="K23" s="165">
        <v>0</v>
      </c>
      <c r="L23" s="165">
        <v>0</v>
      </c>
      <c r="M23" s="165">
        <v>0</v>
      </c>
      <c r="N23" s="165">
        <f t="shared" si="3"/>
        <v>-2</v>
      </c>
      <c r="O23" s="165">
        <f t="shared" si="4"/>
        <v>-2</v>
      </c>
      <c r="P23" s="165">
        <f t="shared" si="25"/>
        <v>0</v>
      </c>
      <c r="Q23" s="165">
        <f t="shared" si="26"/>
        <v>-30</v>
      </c>
      <c r="R23" s="190">
        <v>3421</v>
      </c>
      <c r="S23" s="11">
        <v>3763.1</v>
      </c>
      <c r="T23" s="11">
        <v>4105.2</v>
      </c>
      <c r="U23" s="11">
        <v>3</v>
      </c>
      <c r="V23" s="190">
        <v>4105.2</v>
      </c>
      <c r="W23" s="188">
        <f>VLOOKUP(B:B,[1]Sheet1!$F$1:$G$65536,2,0)</f>
        <v>7718.63</v>
      </c>
      <c r="X23" s="188">
        <f t="shared" si="5"/>
        <v>4297.63</v>
      </c>
      <c r="Y23" s="188">
        <f t="shared" si="6"/>
        <v>3613.43</v>
      </c>
      <c r="Z23" s="188">
        <f>W23*0.11</f>
        <v>849.04930000000002</v>
      </c>
      <c r="AA23" s="190"/>
      <c r="AB23" s="173">
        <v>55</v>
      </c>
      <c r="AC23" s="198">
        <v>61</v>
      </c>
      <c r="AD23" s="198">
        <v>66</v>
      </c>
      <c r="AE23" s="178">
        <v>3</v>
      </c>
      <c r="AF23" s="199">
        <v>66</v>
      </c>
      <c r="AG23" s="206">
        <f>VLOOKUP(B:B,[1]Sheet3!$G$1:$H$65536,2,0)</f>
        <v>20</v>
      </c>
      <c r="AH23" s="206">
        <f>VLOOKUP(B:B,[1]Sheet5!$E$1:$F$65536,2,0)</f>
        <v>3</v>
      </c>
      <c r="AI23" s="206">
        <f>VLOOKUP(B:B,[1]Sheet8!$G$1:$H$65536,2,0)</f>
        <v>47</v>
      </c>
      <c r="AJ23" s="206">
        <f t="shared" si="7"/>
        <v>70</v>
      </c>
      <c r="AK23" s="196">
        <f t="shared" si="8"/>
        <v>15</v>
      </c>
      <c r="AL23" s="196">
        <f t="shared" si="9"/>
        <v>4</v>
      </c>
      <c r="AM23" s="196">
        <f>AG23*2.5+AH23*1.5+AI23*4</f>
        <v>242.5</v>
      </c>
      <c r="AN23" s="199"/>
      <c r="AO23" s="172">
        <v>324</v>
      </c>
      <c r="AP23" s="172">
        <v>356.4</v>
      </c>
      <c r="AQ23" s="172">
        <v>388.8</v>
      </c>
      <c r="AR23" s="172">
        <v>1</v>
      </c>
      <c r="AS23" s="172">
        <v>324</v>
      </c>
      <c r="AT23" s="188">
        <f>VLOOKUP(B:B,[1]Sheet10!$F$1:$G$65536,2,0)</f>
        <v>19.899999999999999</v>
      </c>
      <c r="AU23" s="188">
        <v>0</v>
      </c>
      <c r="AV23" s="188">
        <f t="shared" si="10"/>
        <v>19.899999999999999</v>
      </c>
      <c r="AW23" s="188">
        <f t="shared" si="11"/>
        <v>-304.10000000000002</v>
      </c>
      <c r="AX23" s="188">
        <f t="shared" si="12"/>
        <v>-304.10000000000002</v>
      </c>
      <c r="AY23" s="172"/>
      <c r="AZ23" s="188">
        <f>AW23*0.04</f>
        <v>-12.164</v>
      </c>
      <c r="BA23" s="190">
        <f>VLOOKUP(B:B,[7]查询时间段分门店销售明细!$B$1:$X$65536,23,0)</f>
        <v>4972.13</v>
      </c>
      <c r="BB23" s="188">
        <f>VLOOKUP(B:B,[1]Sheet14!$G$1:$I$65536,3,0)</f>
        <v>5711.24</v>
      </c>
      <c r="BC23" s="188">
        <v>93.49</v>
      </c>
      <c r="BD23" s="188">
        <f t="shared" si="13"/>
        <v>5804.73</v>
      </c>
      <c r="BE23" s="188">
        <f t="shared" si="14"/>
        <v>832.599999999999</v>
      </c>
      <c r="BF23" s="188">
        <f t="shared" si="15"/>
        <v>573.92870000000005</v>
      </c>
      <c r="BG23" s="172"/>
      <c r="BH23" s="172">
        <v>969.84</v>
      </c>
      <c r="BI23" s="172">
        <v>1066.8240000000001</v>
      </c>
      <c r="BJ23" s="172">
        <v>1163.808</v>
      </c>
      <c r="BK23" s="172">
        <v>3</v>
      </c>
      <c r="BL23" s="172">
        <v>1163.808</v>
      </c>
      <c r="BM23" s="188">
        <f>VLOOKUP(B:B,[1]Sheet17!$E$1:$F$65536,2,0)</f>
        <v>4223.8</v>
      </c>
      <c r="BN23" s="188">
        <f t="shared" si="16"/>
        <v>3253.96</v>
      </c>
      <c r="BO23" s="188">
        <f t="shared" si="17"/>
        <v>3059.9920000000002</v>
      </c>
      <c r="BP23" s="188">
        <f>BM23*0.25</f>
        <v>1055.95</v>
      </c>
      <c r="BQ23" s="172"/>
      <c r="BR23" s="172">
        <v>8718.2999999999993</v>
      </c>
      <c r="BS23" s="172">
        <v>9590.1299999999992</v>
      </c>
      <c r="BT23" s="172">
        <v>10461.959999999999</v>
      </c>
      <c r="BU23" s="172">
        <v>3</v>
      </c>
      <c r="BV23" s="172">
        <v>10461.959999999999</v>
      </c>
      <c r="BW23" s="188">
        <f>VLOOKUP(B:B,[2]Sheet1!$G$1:$H$65536,2,0)</f>
        <v>13715.09</v>
      </c>
      <c r="BX23" s="188">
        <f t="shared" si="18"/>
        <v>4996.79</v>
      </c>
      <c r="BY23" s="188">
        <f t="shared" si="19"/>
        <v>3253.13</v>
      </c>
      <c r="BZ23" s="166">
        <f>BW23*0.12</f>
        <v>1645.8108</v>
      </c>
      <c r="CA23" s="172"/>
      <c r="CB23" s="188">
        <f t="shared" si="20"/>
        <v>4367.2388000000001</v>
      </c>
      <c r="CC23" s="218">
        <f>VLOOKUP(B:B,[3]门店完成率!$A:$Y,25,0)</f>
        <v>0.79928904726181504</v>
      </c>
      <c r="CD23" s="188">
        <f t="shared" si="31"/>
        <v>3928.9624698084199</v>
      </c>
      <c r="CE23" s="188">
        <f t="shared" si="32"/>
        <v>3928.96</v>
      </c>
      <c r="CF23" s="188">
        <f t="shared" si="22"/>
        <v>-42.164000000000001</v>
      </c>
      <c r="CG23" s="188">
        <f t="shared" si="33"/>
        <v>-42.16</v>
      </c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</row>
    <row r="24" spans="1:249" s="154" customFormat="1" ht="12.95" customHeight="1">
      <c r="A24" s="172">
        <v>21</v>
      </c>
      <c r="B24" s="172">
        <v>351</v>
      </c>
      <c r="C24" s="172" t="s">
        <v>66</v>
      </c>
      <c r="D24" s="172" t="s">
        <v>63</v>
      </c>
      <c r="E24" s="173">
        <v>3</v>
      </c>
      <c r="F24" s="173">
        <v>4</v>
      </c>
      <c r="G24" s="173">
        <v>5</v>
      </c>
      <c r="H24" s="173">
        <v>1</v>
      </c>
      <c r="I24" s="173">
        <v>3</v>
      </c>
      <c r="J24" s="165">
        <v>0</v>
      </c>
      <c r="K24" s="165">
        <v>0</v>
      </c>
      <c r="L24" s="165">
        <v>0</v>
      </c>
      <c r="M24" s="165">
        <v>0</v>
      </c>
      <c r="N24" s="165">
        <f t="shared" si="3"/>
        <v>-3</v>
      </c>
      <c r="O24" s="165">
        <f t="shared" si="4"/>
        <v>-3</v>
      </c>
      <c r="P24" s="165">
        <f t="shared" si="25"/>
        <v>0</v>
      </c>
      <c r="Q24" s="165">
        <f t="shared" si="26"/>
        <v>-45</v>
      </c>
      <c r="R24" s="190">
        <v>2966</v>
      </c>
      <c r="S24" s="11">
        <v>3262.6</v>
      </c>
      <c r="T24" s="11">
        <v>3559.2</v>
      </c>
      <c r="U24" s="11">
        <v>2</v>
      </c>
      <c r="V24" s="190">
        <v>3262.6</v>
      </c>
      <c r="W24" s="188">
        <f>VLOOKUP(B:B,[1]Sheet1!$F$1:$G$65536,2,0)</f>
        <v>3382.98</v>
      </c>
      <c r="X24" s="188">
        <f t="shared" si="5"/>
        <v>416.98</v>
      </c>
      <c r="Y24" s="188">
        <f t="shared" si="6"/>
        <v>120.38</v>
      </c>
      <c r="Z24" s="188">
        <f>W24*0.09</f>
        <v>304.46820000000002</v>
      </c>
      <c r="AA24" s="190"/>
      <c r="AB24" s="173">
        <v>54</v>
      </c>
      <c r="AC24" s="198">
        <v>59</v>
      </c>
      <c r="AD24" s="198">
        <v>65</v>
      </c>
      <c r="AE24" s="178">
        <v>2</v>
      </c>
      <c r="AF24" s="199">
        <v>59</v>
      </c>
      <c r="AG24" s="206">
        <f>VLOOKUP(B:B,[1]Sheet3!$G$1:$H$65536,2,0)</f>
        <v>42</v>
      </c>
      <c r="AH24" s="206">
        <f>VLOOKUP(B:B,[1]Sheet5!$E$1:$F$65536,2,0)</f>
        <v>5</v>
      </c>
      <c r="AI24" s="206">
        <f>VLOOKUP(B:B,[1]Sheet8!$G$1:$H$65536,2,0)</f>
        <v>13</v>
      </c>
      <c r="AJ24" s="206">
        <f t="shared" si="7"/>
        <v>60</v>
      </c>
      <c r="AK24" s="196">
        <f t="shared" si="8"/>
        <v>6</v>
      </c>
      <c r="AL24" s="196">
        <f t="shared" si="9"/>
        <v>1</v>
      </c>
      <c r="AM24" s="196">
        <f>AG24*1.5+AH24*1+AI24*3</f>
        <v>107</v>
      </c>
      <c r="AN24" s="199"/>
      <c r="AO24" s="172">
        <v>279</v>
      </c>
      <c r="AP24" s="172">
        <v>306.89999999999998</v>
      </c>
      <c r="AQ24" s="172">
        <v>334.8</v>
      </c>
      <c r="AR24" s="172">
        <v>3</v>
      </c>
      <c r="AS24" s="172">
        <v>334.8</v>
      </c>
      <c r="AT24" s="188">
        <f>VLOOKUP(B:B,[1]Sheet10!$F$1:$G$65536,2,0)</f>
        <v>46.8</v>
      </c>
      <c r="AU24" s="188">
        <f>VLOOKUP(B:B,[1]Sheet12!$G$1:$H$65536,2,0)</f>
        <v>593</v>
      </c>
      <c r="AV24" s="188">
        <f t="shared" si="10"/>
        <v>639.79999999999995</v>
      </c>
      <c r="AW24" s="188">
        <f t="shared" si="11"/>
        <v>360.8</v>
      </c>
      <c r="AX24" s="188">
        <f t="shared" si="12"/>
        <v>305</v>
      </c>
      <c r="AY24" s="168">
        <f>AT24*0.09+AU24*0.05</f>
        <v>33.862000000000002</v>
      </c>
      <c r="AZ24" s="172"/>
      <c r="BA24" s="190">
        <f>VLOOKUP(B:B,[6]查询时间段分门店销售明细!$B$1:$X$65536,23,0)</f>
        <v>2545.4</v>
      </c>
      <c r="BB24" s="188">
        <f>VLOOKUP(B:B,[1]Sheet14!$G$1:$I$65536,3,0)</f>
        <v>2751.3</v>
      </c>
      <c r="BC24" s="188">
        <v>0</v>
      </c>
      <c r="BD24" s="188">
        <f t="shared" si="13"/>
        <v>2751.3</v>
      </c>
      <c r="BE24" s="188">
        <f t="shared" si="14"/>
        <v>205.9</v>
      </c>
      <c r="BF24" s="188">
        <f t="shared" si="15"/>
        <v>275.13</v>
      </c>
      <c r="BG24" s="172"/>
      <c r="BH24" s="172">
        <v>1267.2</v>
      </c>
      <c r="BI24" s="172">
        <v>1393.92</v>
      </c>
      <c r="BJ24" s="172">
        <v>1520.64</v>
      </c>
      <c r="BK24" s="172">
        <v>3</v>
      </c>
      <c r="BL24" s="172">
        <v>1520.64</v>
      </c>
      <c r="BM24" s="188">
        <f>VLOOKUP(B:B,[1]Sheet17!$E$1:$F$65536,2,0)</f>
        <v>239</v>
      </c>
      <c r="BN24" s="188">
        <f t="shared" si="16"/>
        <v>-1028.2</v>
      </c>
      <c r="BO24" s="188">
        <f t="shared" si="17"/>
        <v>-1281.6400000000001</v>
      </c>
      <c r="BP24" s="188">
        <f>BM24*0.15</f>
        <v>35.85</v>
      </c>
      <c r="BQ24" s="188">
        <f>BN24*0.05</f>
        <v>-51.41</v>
      </c>
      <c r="BR24" s="172">
        <v>15444.9</v>
      </c>
      <c r="BS24" s="172">
        <v>16989.39</v>
      </c>
      <c r="BT24" s="172">
        <v>18533.88</v>
      </c>
      <c r="BU24" s="172">
        <v>2</v>
      </c>
      <c r="BV24" s="172">
        <v>16989.39</v>
      </c>
      <c r="BW24" s="188">
        <f>VLOOKUP(B:B,[2]Sheet1!$G$1:$H$65536,2,0)</f>
        <v>11359.4</v>
      </c>
      <c r="BX24" s="188">
        <f t="shared" si="18"/>
        <v>-4085.5</v>
      </c>
      <c r="BY24" s="188">
        <f t="shared" si="19"/>
        <v>-5629.99</v>
      </c>
      <c r="BZ24" s="166">
        <f t="shared" ref="BZ24:BZ30" si="34">BW24*0.08</f>
        <v>908.75199999999995</v>
      </c>
      <c r="CA24" s="174">
        <f>BX24*0.05</f>
        <v>-204.27500000000001</v>
      </c>
      <c r="CB24" s="188">
        <f t="shared" si="20"/>
        <v>1665.0622000000001</v>
      </c>
      <c r="CC24" s="218">
        <f>VLOOKUP(B:B,[3]门店完成率!$A:$Y,25,0)</f>
        <v>0.87073304659498196</v>
      </c>
      <c r="CD24" s="188">
        <f t="shared" si="31"/>
        <v>1557.4434410880699</v>
      </c>
      <c r="CE24" s="188">
        <f t="shared" si="32"/>
        <v>1557.44</v>
      </c>
      <c r="CF24" s="188">
        <f t="shared" si="22"/>
        <v>-300.685</v>
      </c>
      <c r="CG24" s="188">
        <f t="shared" si="33"/>
        <v>-300.69</v>
      </c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</row>
    <row r="25" spans="1:249" s="154" customFormat="1" ht="12.95" customHeight="1">
      <c r="A25" s="172">
        <v>22</v>
      </c>
      <c r="B25" s="172">
        <v>367</v>
      </c>
      <c r="C25" s="172" t="s">
        <v>67</v>
      </c>
      <c r="D25" s="172" t="s">
        <v>63</v>
      </c>
      <c r="E25" s="173">
        <v>2</v>
      </c>
      <c r="F25" s="173">
        <v>3</v>
      </c>
      <c r="G25" s="173">
        <v>4</v>
      </c>
      <c r="H25" s="173">
        <v>1</v>
      </c>
      <c r="I25" s="173">
        <v>2</v>
      </c>
      <c r="J25" s="165">
        <v>2</v>
      </c>
      <c r="K25" s="165">
        <f>VLOOKUP(B:B,[5]Sheet1!$I$1:$K$65536,3,0)</f>
        <v>0</v>
      </c>
      <c r="L25" s="165">
        <f>VLOOKUP(B:B,[5]Sheet1!$I$1:$M$65536,5,0)</f>
        <v>2</v>
      </c>
      <c r="M25" s="165">
        <f>VLOOKUP(B:B,[5]Sheet1!$I$1:$N$65536,6,0)</f>
        <v>0</v>
      </c>
      <c r="N25" s="165">
        <f t="shared" si="3"/>
        <v>0</v>
      </c>
      <c r="O25" s="165">
        <f t="shared" si="4"/>
        <v>0</v>
      </c>
      <c r="P25" s="165">
        <f>K25*90+L25*15+M25*40</f>
        <v>30</v>
      </c>
      <c r="Q25" s="165"/>
      <c r="R25" s="190">
        <v>1471</v>
      </c>
      <c r="S25" s="11">
        <v>1618.1</v>
      </c>
      <c r="T25" s="11">
        <v>1765.2</v>
      </c>
      <c r="U25" s="11">
        <v>3</v>
      </c>
      <c r="V25" s="190">
        <v>1765.2</v>
      </c>
      <c r="W25" s="188">
        <f>VLOOKUP(B:B,[1]Sheet1!$F$1:$G$65536,2,0)</f>
        <v>642.51</v>
      </c>
      <c r="X25" s="188">
        <f t="shared" si="5"/>
        <v>-828.49</v>
      </c>
      <c r="Y25" s="188">
        <f t="shared" si="6"/>
        <v>-1122.69</v>
      </c>
      <c r="Z25" s="190"/>
      <c r="AA25" s="197">
        <f>X25*0.05</f>
        <v>-41.424500000000002</v>
      </c>
      <c r="AB25" s="173">
        <v>82</v>
      </c>
      <c r="AC25" s="198">
        <v>90</v>
      </c>
      <c r="AD25" s="198">
        <v>98</v>
      </c>
      <c r="AE25" s="178">
        <v>1</v>
      </c>
      <c r="AF25" s="199">
        <v>82</v>
      </c>
      <c r="AG25" s="206">
        <f>VLOOKUP(B:B,[1]Sheet3!$G$1:$H$65536,2,0)</f>
        <v>43</v>
      </c>
      <c r="AH25" s="206">
        <f>VLOOKUP(B:B,[1]Sheet5!$E$1:$F$65536,2,0)</f>
        <v>11</v>
      </c>
      <c r="AI25" s="206">
        <f>VLOOKUP(B:B,[1]Sheet8!$G$1:$H$65536,2,0)</f>
        <v>46</v>
      </c>
      <c r="AJ25" s="206">
        <f t="shared" si="7"/>
        <v>100</v>
      </c>
      <c r="AK25" s="196">
        <f t="shared" si="8"/>
        <v>18</v>
      </c>
      <c r="AL25" s="196">
        <f t="shared" si="9"/>
        <v>18</v>
      </c>
      <c r="AM25" s="196">
        <f>AG25*1+AH25*0.5+AI25*2</f>
        <v>140.5</v>
      </c>
      <c r="AN25" s="199"/>
      <c r="AO25" s="172">
        <v>558</v>
      </c>
      <c r="AP25" s="172">
        <v>613.79999999999995</v>
      </c>
      <c r="AQ25" s="172">
        <v>669.6</v>
      </c>
      <c r="AR25" s="172">
        <v>1</v>
      </c>
      <c r="AS25" s="172">
        <v>558</v>
      </c>
      <c r="AT25" s="188">
        <f>VLOOKUP(B:B,[1]Sheet10!$F$1:$G$65536,2,0)</f>
        <v>331.84</v>
      </c>
      <c r="AU25" s="188">
        <f>VLOOKUP(B:B,[1]Sheet12!$G$1:$H$65536,2,0)</f>
        <v>148</v>
      </c>
      <c r="AV25" s="188">
        <f t="shared" si="10"/>
        <v>479.84</v>
      </c>
      <c r="AW25" s="188">
        <f t="shared" si="11"/>
        <v>-78.16</v>
      </c>
      <c r="AX25" s="188">
        <f t="shared" si="12"/>
        <v>-78.16</v>
      </c>
      <c r="AY25" s="172"/>
      <c r="AZ25" s="188">
        <f>AW25*0.04</f>
        <v>-3.1263999999999998</v>
      </c>
      <c r="BA25" s="190">
        <f>VLOOKUP(B:B,[7]查询时间段分门店销售明细!$B$1:$X$65536,23,0)</f>
        <v>15098.4</v>
      </c>
      <c r="BB25" s="188">
        <f>VLOOKUP(B:B,[1]Sheet14!$G$1:$I$65536,3,0)</f>
        <v>4926.7000000000098</v>
      </c>
      <c r="BC25" s="188">
        <v>13.59</v>
      </c>
      <c r="BD25" s="188">
        <f t="shared" si="13"/>
        <v>4940.29000000001</v>
      </c>
      <c r="BE25" s="188">
        <f t="shared" si="14"/>
        <v>-10158.11</v>
      </c>
      <c r="BF25" s="188">
        <f t="shared" si="15"/>
        <v>493.07770000000102</v>
      </c>
      <c r="BG25" s="210">
        <f>BE25*0.03</f>
        <v>-304.74329999999998</v>
      </c>
      <c r="BH25" s="172">
        <v>1455.84</v>
      </c>
      <c r="BI25" s="172">
        <v>1601.424</v>
      </c>
      <c r="BJ25" s="172">
        <v>1747.008</v>
      </c>
      <c r="BK25" s="172">
        <v>3</v>
      </c>
      <c r="BL25" s="172">
        <v>1747.008</v>
      </c>
      <c r="BM25" s="188">
        <f>VLOOKUP(B:B,[1]Sheet17!$E$1:$F$65536,2,0)</f>
        <v>1779</v>
      </c>
      <c r="BN25" s="188">
        <f t="shared" si="16"/>
        <v>323.16000000000003</v>
      </c>
      <c r="BO25" s="188">
        <f t="shared" si="17"/>
        <v>31.992000000000001</v>
      </c>
      <c r="BP25" s="188">
        <f>BM25*0.25</f>
        <v>444.75</v>
      </c>
      <c r="BQ25" s="172"/>
      <c r="BR25" s="172">
        <v>12486.6</v>
      </c>
      <c r="BS25" s="172">
        <v>13735.26</v>
      </c>
      <c r="BT25" s="172">
        <v>14983.92</v>
      </c>
      <c r="BU25" s="172">
        <v>1</v>
      </c>
      <c r="BV25" s="172">
        <v>12486.6</v>
      </c>
      <c r="BW25" s="188">
        <f>VLOOKUP(B:B,[2]Sheet1!$G$1:$H$65536,2,0)</f>
        <v>7358.11</v>
      </c>
      <c r="BX25" s="188">
        <f t="shared" si="18"/>
        <v>-5128.49</v>
      </c>
      <c r="BY25" s="188">
        <f t="shared" si="19"/>
        <v>-5128.49</v>
      </c>
      <c r="BZ25" s="166">
        <f t="shared" si="34"/>
        <v>588.64880000000005</v>
      </c>
      <c r="CA25" s="174">
        <f>BX25*0.05</f>
        <v>-256.42450000000002</v>
      </c>
      <c r="CB25" s="188">
        <f t="shared" si="20"/>
        <v>1696.9765</v>
      </c>
      <c r="CC25" s="218">
        <f>VLOOKUP(B:B,[3]门店完成率!$A:$Y,25,0)</f>
        <v>0.83625672043010801</v>
      </c>
      <c r="CD25" s="188">
        <f t="shared" si="31"/>
        <v>1558.04225126848</v>
      </c>
      <c r="CE25" s="188">
        <f t="shared" si="32"/>
        <v>1558.04</v>
      </c>
      <c r="CF25" s="188">
        <f t="shared" si="22"/>
        <v>-605.71870000000001</v>
      </c>
      <c r="CG25" s="188">
        <f t="shared" si="33"/>
        <v>-605.72</v>
      </c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</row>
    <row r="26" spans="1:249" s="154" customFormat="1" ht="12.95" customHeight="1">
      <c r="A26" s="172">
        <v>23</v>
      </c>
      <c r="B26" s="172">
        <v>587</v>
      </c>
      <c r="C26" s="172" t="s">
        <v>68</v>
      </c>
      <c r="D26" s="172" t="s">
        <v>63</v>
      </c>
      <c r="E26" s="173">
        <v>2</v>
      </c>
      <c r="F26" s="173">
        <v>3</v>
      </c>
      <c r="G26" s="173">
        <v>4</v>
      </c>
      <c r="H26" s="173">
        <v>1</v>
      </c>
      <c r="I26" s="173">
        <v>2</v>
      </c>
      <c r="J26" s="165">
        <v>0</v>
      </c>
      <c r="K26" s="165">
        <v>0</v>
      </c>
      <c r="L26" s="165">
        <v>0</v>
      </c>
      <c r="M26" s="165">
        <v>0</v>
      </c>
      <c r="N26" s="165">
        <f t="shared" si="3"/>
        <v>-2</v>
      </c>
      <c r="O26" s="165">
        <f t="shared" si="4"/>
        <v>-2</v>
      </c>
      <c r="P26" s="165">
        <f>K26*70+L26*15+M26*40</f>
        <v>0</v>
      </c>
      <c r="Q26" s="165">
        <f>N26*15</f>
        <v>-30</v>
      </c>
      <c r="R26" s="190">
        <v>2138</v>
      </c>
      <c r="S26" s="11">
        <v>2351.8000000000002</v>
      </c>
      <c r="T26" s="11">
        <v>2565.6</v>
      </c>
      <c r="U26" s="11">
        <v>3</v>
      </c>
      <c r="V26" s="190">
        <v>2565.6</v>
      </c>
      <c r="W26" s="188">
        <f>VLOOKUP(B:B,[1]Sheet1!$F$1:$G$65536,2,0)</f>
        <v>2783.98</v>
      </c>
      <c r="X26" s="188">
        <f t="shared" si="5"/>
        <v>645.98</v>
      </c>
      <c r="Y26" s="188">
        <f t="shared" si="6"/>
        <v>218.38</v>
      </c>
      <c r="Z26" s="188">
        <f>W26*0.11</f>
        <v>306.23779999999999</v>
      </c>
      <c r="AA26" s="190"/>
      <c r="AB26" s="173">
        <v>91</v>
      </c>
      <c r="AC26" s="198">
        <v>100</v>
      </c>
      <c r="AD26" s="198">
        <v>109</v>
      </c>
      <c r="AE26" s="178">
        <v>1</v>
      </c>
      <c r="AF26" s="199">
        <v>91</v>
      </c>
      <c r="AG26" s="206">
        <f>VLOOKUP(B:B,[1]Sheet3!$G$1:$H$65536,2,0)</f>
        <v>39</v>
      </c>
      <c r="AH26" s="206">
        <f>VLOOKUP(B:B,[1]Sheet5!$E$1:$F$65536,2,0)</f>
        <v>9</v>
      </c>
      <c r="AI26" s="206">
        <f>VLOOKUP(B:B,[1]Sheet8!$G$1:$H$65536,2,0)</f>
        <v>13</v>
      </c>
      <c r="AJ26" s="206">
        <f t="shared" si="7"/>
        <v>61</v>
      </c>
      <c r="AK26" s="196">
        <f t="shared" si="8"/>
        <v>-30</v>
      </c>
      <c r="AL26" s="196">
        <f t="shared" si="9"/>
        <v>-30</v>
      </c>
      <c r="AM26" s="199"/>
      <c r="AN26" s="196">
        <f>AK26*1</f>
        <v>-30</v>
      </c>
      <c r="AO26" s="172">
        <v>540</v>
      </c>
      <c r="AP26" s="172">
        <v>594</v>
      </c>
      <c r="AQ26" s="172">
        <v>648</v>
      </c>
      <c r="AR26" s="172">
        <v>1</v>
      </c>
      <c r="AS26" s="172">
        <v>540</v>
      </c>
      <c r="AT26" s="188">
        <f>VLOOKUP(B:B,[1]Sheet10!$F$1:$G$65536,2,0)</f>
        <v>165.1</v>
      </c>
      <c r="AU26" s="188">
        <f>VLOOKUP(B:B,[1]Sheet12!$G$1:$H$65536,2,0)</f>
        <v>486.8</v>
      </c>
      <c r="AV26" s="188">
        <f t="shared" si="10"/>
        <v>651.9</v>
      </c>
      <c r="AW26" s="188">
        <f t="shared" si="11"/>
        <v>111.9</v>
      </c>
      <c r="AX26" s="188">
        <f t="shared" si="12"/>
        <v>111.9</v>
      </c>
      <c r="AY26" s="166">
        <f>AT26*0.05+AU26*0.03</f>
        <v>22.859000000000002</v>
      </c>
      <c r="AZ26" s="172"/>
      <c r="BA26" s="190">
        <f>VLOOKUP(B:B,[6]查询时间段分门店销售明细!$B$1:$X$65536,23,0)</f>
        <v>5678.3</v>
      </c>
      <c r="BB26" s="188">
        <f>VLOOKUP(B:B,[1]Sheet14!$G$1:$I$65536,3,0)</f>
        <v>2345.9299999999998</v>
      </c>
      <c r="BC26" s="188">
        <v>13.88</v>
      </c>
      <c r="BD26" s="188">
        <f t="shared" si="13"/>
        <v>2359.81</v>
      </c>
      <c r="BE26" s="188">
        <f t="shared" si="14"/>
        <v>-3318.49</v>
      </c>
      <c r="BF26" s="188">
        <f t="shared" si="15"/>
        <v>235.0094</v>
      </c>
      <c r="BG26" s="210">
        <f>BE26*0.03</f>
        <v>-99.554699999999997</v>
      </c>
      <c r="BH26" s="172">
        <v>1657.44</v>
      </c>
      <c r="BI26" s="172">
        <v>1823.184</v>
      </c>
      <c r="BJ26" s="172">
        <v>1988.9280000000001</v>
      </c>
      <c r="BK26" s="172">
        <v>3</v>
      </c>
      <c r="BL26" s="172">
        <v>1988.9280000000001</v>
      </c>
      <c r="BM26" s="188">
        <f>VLOOKUP(B:B,[1]Sheet17!$E$1:$F$65536,2,0)</f>
        <v>1683.85</v>
      </c>
      <c r="BN26" s="188">
        <f t="shared" si="16"/>
        <v>26.409999999999901</v>
      </c>
      <c r="BO26" s="188">
        <f t="shared" si="17"/>
        <v>-305.07799999999997</v>
      </c>
      <c r="BP26" s="188">
        <f>BM26*0.15</f>
        <v>252.57749999999999</v>
      </c>
      <c r="BQ26" s="188"/>
      <c r="BR26" s="172">
        <v>15597.9</v>
      </c>
      <c r="BS26" s="172">
        <v>17157.689999999999</v>
      </c>
      <c r="BT26" s="172">
        <v>18717.48</v>
      </c>
      <c r="BU26" s="172">
        <v>1</v>
      </c>
      <c r="BV26" s="172">
        <v>15597.9</v>
      </c>
      <c r="BW26" s="188">
        <f>VLOOKUP(B:B,[2]Sheet1!$G$1:$H$65536,2,0)</f>
        <v>13809.22</v>
      </c>
      <c r="BX26" s="188">
        <f t="shared" si="18"/>
        <v>-1788.68</v>
      </c>
      <c r="BY26" s="188">
        <f t="shared" si="19"/>
        <v>-1788.68</v>
      </c>
      <c r="BZ26" s="166">
        <f t="shared" si="34"/>
        <v>1104.7375999999999</v>
      </c>
      <c r="CA26" s="174">
        <f>BX26*0.05</f>
        <v>-89.433999999999997</v>
      </c>
      <c r="CB26" s="188">
        <f t="shared" si="20"/>
        <v>1921.4213</v>
      </c>
      <c r="CC26" s="218">
        <f>VLOOKUP(B:B,[3]门店完成率!$A:$Y,25,0)</f>
        <v>0.822702043010753</v>
      </c>
      <c r="CD26" s="188">
        <f t="shared" si="31"/>
        <v>1751.08926449719</v>
      </c>
      <c r="CE26" s="188">
        <f t="shared" si="32"/>
        <v>1751.09</v>
      </c>
      <c r="CF26" s="188">
        <f t="shared" si="22"/>
        <v>-248.98869999999999</v>
      </c>
      <c r="CG26" s="188">
        <f t="shared" si="33"/>
        <v>-248.99</v>
      </c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</row>
    <row r="27" spans="1:249" s="154" customFormat="1" ht="12.95" customHeight="1">
      <c r="A27" s="172">
        <v>24</v>
      </c>
      <c r="B27" s="172">
        <v>704</v>
      </c>
      <c r="C27" s="172" t="s">
        <v>69</v>
      </c>
      <c r="D27" s="172" t="s">
        <v>63</v>
      </c>
      <c r="E27" s="173">
        <v>2</v>
      </c>
      <c r="F27" s="173">
        <v>3</v>
      </c>
      <c r="G27" s="173">
        <v>4</v>
      </c>
      <c r="H27" s="173">
        <v>1</v>
      </c>
      <c r="I27" s="173">
        <v>2</v>
      </c>
      <c r="J27" s="165">
        <v>0</v>
      </c>
      <c r="K27" s="165">
        <v>0</v>
      </c>
      <c r="L27" s="165">
        <v>0</v>
      </c>
      <c r="M27" s="165">
        <v>0</v>
      </c>
      <c r="N27" s="165">
        <f t="shared" si="3"/>
        <v>-2</v>
      </c>
      <c r="O27" s="165">
        <f t="shared" si="4"/>
        <v>-2</v>
      </c>
      <c r="P27" s="165">
        <f>K27*70+L27*15+M27*40</f>
        <v>0</v>
      </c>
      <c r="Q27" s="165">
        <f>N27*15</f>
        <v>-30</v>
      </c>
      <c r="R27" s="190">
        <v>1656</v>
      </c>
      <c r="S27" s="11">
        <v>1821.6</v>
      </c>
      <c r="T27" s="11">
        <v>1987.2</v>
      </c>
      <c r="U27" s="11">
        <v>3</v>
      </c>
      <c r="V27" s="190">
        <v>1987.2</v>
      </c>
      <c r="W27" s="188">
        <f>VLOOKUP(B:B,[1]Sheet1!$F$1:$G$65536,2,0)</f>
        <v>3319.13</v>
      </c>
      <c r="X27" s="188">
        <f t="shared" si="5"/>
        <v>1663.13</v>
      </c>
      <c r="Y27" s="188">
        <f t="shared" si="6"/>
        <v>1331.93</v>
      </c>
      <c r="Z27" s="188">
        <f>W27*0.11</f>
        <v>365.10430000000002</v>
      </c>
      <c r="AA27" s="190"/>
      <c r="AB27" s="173">
        <v>68</v>
      </c>
      <c r="AC27" s="198">
        <v>75</v>
      </c>
      <c r="AD27" s="198">
        <v>82</v>
      </c>
      <c r="AE27" s="178">
        <v>1</v>
      </c>
      <c r="AF27" s="199">
        <v>68</v>
      </c>
      <c r="AG27" s="206">
        <f>VLOOKUP(B:B,[1]Sheet3!$G$1:$H$65536,2,0)</f>
        <v>16</v>
      </c>
      <c r="AH27" s="206">
        <f>VLOOKUP(B:B,[1]Sheet5!$E$1:$F$65536,2,0)</f>
        <v>6</v>
      </c>
      <c r="AI27" s="206">
        <f>VLOOKUP(B:B,[1]Sheet8!$G$1:$H$65536,2,0)</f>
        <v>25</v>
      </c>
      <c r="AJ27" s="206">
        <f t="shared" si="7"/>
        <v>47</v>
      </c>
      <c r="AK27" s="196">
        <f t="shared" si="8"/>
        <v>-21</v>
      </c>
      <c r="AL27" s="196">
        <f t="shared" si="9"/>
        <v>-21</v>
      </c>
      <c r="AM27" s="199"/>
      <c r="AN27" s="196">
        <f>AK27*1</f>
        <v>-21</v>
      </c>
      <c r="AO27" s="172">
        <v>392.4</v>
      </c>
      <c r="AP27" s="172">
        <v>431.64</v>
      </c>
      <c r="AQ27" s="172">
        <v>470.88</v>
      </c>
      <c r="AR27" s="172">
        <v>1</v>
      </c>
      <c r="AS27" s="172">
        <v>392.4</v>
      </c>
      <c r="AT27" s="188">
        <f>VLOOKUP(B:B,[1]Sheet10!$F$1:$G$65536,2,0)</f>
        <v>299.8</v>
      </c>
      <c r="AU27" s="188">
        <v>0</v>
      </c>
      <c r="AV27" s="188">
        <f t="shared" si="10"/>
        <v>299.8</v>
      </c>
      <c r="AW27" s="188">
        <f t="shared" si="11"/>
        <v>-92.6</v>
      </c>
      <c r="AX27" s="188">
        <f t="shared" si="12"/>
        <v>-92.6</v>
      </c>
      <c r="AY27" s="172"/>
      <c r="AZ27" s="188">
        <f>AW27*0.04</f>
        <v>-3.7040000000000002</v>
      </c>
      <c r="BA27" s="190">
        <f>VLOOKUP(B:B,[7]查询时间段分门店销售明细!$B$1:$X$65536,23,0)</f>
        <v>2931.1</v>
      </c>
      <c r="BB27" s="188">
        <f>VLOOKUP(B:B,[1]Sheet14!$G$1:$I$65536,3,0)</f>
        <v>2011.4</v>
      </c>
      <c r="BC27" s="188">
        <v>37.07</v>
      </c>
      <c r="BD27" s="188">
        <f t="shared" si="13"/>
        <v>2048.4699999999998</v>
      </c>
      <c r="BE27" s="188">
        <f t="shared" si="14"/>
        <v>-882.63</v>
      </c>
      <c r="BF27" s="188">
        <f t="shared" si="15"/>
        <v>202.25210000000001</v>
      </c>
      <c r="BG27" s="210">
        <f>BE27*0.03</f>
        <v>-26.478899999999999</v>
      </c>
      <c r="BH27" s="172">
        <v>1418.4</v>
      </c>
      <c r="BI27" s="172">
        <v>1560.24</v>
      </c>
      <c r="BJ27" s="172">
        <v>1702.08</v>
      </c>
      <c r="BK27" s="172">
        <v>3</v>
      </c>
      <c r="BL27" s="172">
        <v>1702.08</v>
      </c>
      <c r="BM27" s="188">
        <f>VLOOKUP(B:B,[1]Sheet17!$E$1:$F$65536,2,0)</f>
        <v>1880.52</v>
      </c>
      <c r="BN27" s="188">
        <f t="shared" si="16"/>
        <v>462.12</v>
      </c>
      <c r="BO27" s="188">
        <f t="shared" si="17"/>
        <v>178.44</v>
      </c>
      <c r="BP27" s="188">
        <f>BM27*0.25</f>
        <v>470.13</v>
      </c>
      <c r="BQ27" s="172"/>
      <c r="BR27" s="172">
        <v>14818.5</v>
      </c>
      <c r="BS27" s="172">
        <v>16300.35</v>
      </c>
      <c r="BT27" s="172">
        <v>17782.2</v>
      </c>
      <c r="BU27" s="172">
        <v>1</v>
      </c>
      <c r="BV27" s="172">
        <v>14818.5</v>
      </c>
      <c r="BW27" s="188">
        <f>VLOOKUP(B:B,[2]Sheet1!$G$1:$H$65536,2,0)</f>
        <v>6293.47</v>
      </c>
      <c r="BX27" s="188">
        <f t="shared" si="18"/>
        <v>-8525.0300000000007</v>
      </c>
      <c r="BY27" s="188">
        <f t="shared" si="19"/>
        <v>-8525.0300000000007</v>
      </c>
      <c r="BZ27" s="166">
        <f t="shared" si="34"/>
        <v>503.4776</v>
      </c>
      <c r="CA27" s="174">
        <f>BX27*0.05</f>
        <v>-426.25150000000002</v>
      </c>
      <c r="CB27" s="188">
        <f t="shared" si="20"/>
        <v>1540.9639999999999</v>
      </c>
      <c r="CC27" s="218">
        <f>VLOOKUP(B:B,[3]门店完成率!$A:$Y,25,0)</f>
        <v>1.01580486914181</v>
      </c>
      <c r="CD27" s="166">
        <f>CB27</f>
        <v>1540.9639999999999</v>
      </c>
      <c r="CE27" s="188">
        <f t="shared" si="32"/>
        <v>1540.96</v>
      </c>
      <c r="CF27" s="188">
        <f t="shared" si="22"/>
        <v>-507.43439999999998</v>
      </c>
      <c r="CG27" s="188">
        <f t="shared" si="33"/>
        <v>-507.43</v>
      </c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</row>
    <row r="28" spans="1:249" s="154" customFormat="1" ht="12.95" customHeight="1">
      <c r="A28" s="172">
        <v>25</v>
      </c>
      <c r="B28" s="172">
        <v>706</v>
      </c>
      <c r="C28" s="172" t="s">
        <v>70</v>
      </c>
      <c r="D28" s="172" t="s">
        <v>63</v>
      </c>
      <c r="E28" s="173">
        <v>2</v>
      </c>
      <c r="F28" s="173">
        <v>3</v>
      </c>
      <c r="G28" s="173">
        <v>4</v>
      </c>
      <c r="H28" s="173">
        <v>1</v>
      </c>
      <c r="I28" s="173">
        <v>2</v>
      </c>
      <c r="J28" s="165">
        <v>0</v>
      </c>
      <c r="K28" s="165">
        <v>0</v>
      </c>
      <c r="L28" s="165">
        <v>0</v>
      </c>
      <c r="M28" s="165">
        <v>0</v>
      </c>
      <c r="N28" s="165">
        <f t="shared" si="3"/>
        <v>-2</v>
      </c>
      <c r="O28" s="165">
        <f t="shared" si="4"/>
        <v>-2</v>
      </c>
      <c r="P28" s="165">
        <f>K28*70+L28*15+M28*40</f>
        <v>0</v>
      </c>
      <c r="Q28" s="165">
        <f>N28*15</f>
        <v>-30</v>
      </c>
      <c r="R28" s="190">
        <v>1217</v>
      </c>
      <c r="S28" s="11">
        <v>1338.7</v>
      </c>
      <c r="T28" s="11">
        <v>1460.4</v>
      </c>
      <c r="U28" s="11">
        <v>1</v>
      </c>
      <c r="V28" s="190">
        <v>1217</v>
      </c>
      <c r="W28" s="188">
        <f>VLOOKUP(B:B,[1]Sheet1!$F$1:$G$65536,2,0)</f>
        <v>2384.17</v>
      </c>
      <c r="X28" s="188">
        <f t="shared" si="5"/>
        <v>1167.17</v>
      </c>
      <c r="Y28" s="188">
        <f t="shared" si="6"/>
        <v>1167.17</v>
      </c>
      <c r="Z28" s="188">
        <f>W28*0.07</f>
        <v>166.89189999999999</v>
      </c>
      <c r="AA28" s="190"/>
      <c r="AB28" s="173">
        <v>45</v>
      </c>
      <c r="AC28" s="198">
        <v>50</v>
      </c>
      <c r="AD28" s="198">
        <v>54</v>
      </c>
      <c r="AE28" s="178">
        <v>1</v>
      </c>
      <c r="AF28" s="199">
        <v>45</v>
      </c>
      <c r="AG28" s="206">
        <f>VLOOKUP(B:B,[1]Sheet3!$G$1:$H$65536,2,0)</f>
        <v>3</v>
      </c>
      <c r="AH28" s="206">
        <f>VLOOKUP(B:B,[1]Sheet5!$E$1:$F$65536,2,0)</f>
        <v>4</v>
      </c>
      <c r="AI28" s="206">
        <f>VLOOKUP(B:B,[1]Sheet8!$G$1:$H$65536,2,0)</f>
        <v>4</v>
      </c>
      <c r="AJ28" s="206">
        <f t="shared" si="7"/>
        <v>11</v>
      </c>
      <c r="AK28" s="196">
        <f t="shared" si="8"/>
        <v>-34</v>
      </c>
      <c r="AL28" s="196">
        <f t="shared" si="9"/>
        <v>-34</v>
      </c>
      <c r="AM28" s="199"/>
      <c r="AN28" s="196">
        <f>AK28*1</f>
        <v>-34</v>
      </c>
      <c r="AO28" s="172">
        <v>311.39999999999998</v>
      </c>
      <c r="AP28" s="172">
        <v>342.54</v>
      </c>
      <c r="AQ28" s="172">
        <v>373.68</v>
      </c>
      <c r="AR28" s="172">
        <v>1</v>
      </c>
      <c r="AS28" s="172">
        <v>311.39999999999998</v>
      </c>
      <c r="AT28" s="188">
        <f>VLOOKUP(B:B,[1]Sheet10!$F$1:$G$65536,2,0)</f>
        <v>39.799999999999997</v>
      </c>
      <c r="AU28" s="188">
        <f>VLOOKUP(B:B,[1]Sheet12!$G$1:$H$65536,2,0)</f>
        <v>337.65</v>
      </c>
      <c r="AV28" s="188">
        <f t="shared" si="10"/>
        <v>377.45</v>
      </c>
      <c r="AW28" s="188">
        <f t="shared" si="11"/>
        <v>66.05</v>
      </c>
      <c r="AX28" s="188">
        <f t="shared" si="12"/>
        <v>66.05</v>
      </c>
      <c r="AY28" s="166">
        <f>AT28*0.05+AU28*0.03</f>
        <v>12.1195</v>
      </c>
      <c r="AZ28" s="172"/>
      <c r="BA28" s="190">
        <f>VLOOKUP(B:B,[7]查询时间段分门店销售明细!$B$1:$X$65536,23,0)</f>
        <v>3609.83</v>
      </c>
      <c r="BB28" s="188">
        <f>VLOOKUP(B:B,[1]Sheet14!$G$1:$I$65536,3,0)</f>
        <v>1602</v>
      </c>
      <c r="BC28" s="188">
        <v>36.93</v>
      </c>
      <c r="BD28" s="188">
        <f t="shared" si="13"/>
        <v>1638.93</v>
      </c>
      <c r="BE28" s="188">
        <f t="shared" si="14"/>
        <v>-1970.9</v>
      </c>
      <c r="BF28" s="188">
        <f t="shared" si="15"/>
        <v>161.30789999999999</v>
      </c>
      <c r="BG28" s="210">
        <f>BE28*0.03</f>
        <v>-59.127000000000002</v>
      </c>
      <c r="BH28" s="172">
        <v>853.92</v>
      </c>
      <c r="BI28" s="172">
        <v>939.31200000000001</v>
      </c>
      <c r="BJ28" s="172">
        <v>1024.704</v>
      </c>
      <c r="BK28" s="172">
        <v>1</v>
      </c>
      <c r="BL28" s="172">
        <v>853.92</v>
      </c>
      <c r="BM28" s="188">
        <f>VLOOKUP(B:B,[1]Sheet17!$E$1:$F$65536,2,0)</f>
        <v>135.01</v>
      </c>
      <c r="BN28" s="188">
        <f t="shared" si="16"/>
        <v>-718.91</v>
      </c>
      <c r="BO28" s="188">
        <f t="shared" si="17"/>
        <v>-718.91</v>
      </c>
      <c r="BP28" s="188">
        <f>BM28*0.15</f>
        <v>20.2515</v>
      </c>
      <c r="BQ28" s="188">
        <f>BN28*0.05</f>
        <v>-35.945500000000003</v>
      </c>
      <c r="BR28" s="172">
        <v>8960.4</v>
      </c>
      <c r="BS28" s="172">
        <v>9856.44</v>
      </c>
      <c r="BT28" s="172">
        <v>10752.48</v>
      </c>
      <c r="BU28" s="172">
        <v>1</v>
      </c>
      <c r="BV28" s="172">
        <v>8960.4</v>
      </c>
      <c r="BW28" s="188">
        <f>VLOOKUP(B:B,[2]Sheet1!$G$1:$H$65536,2,0)</f>
        <v>9827.57</v>
      </c>
      <c r="BX28" s="188">
        <f t="shared" si="18"/>
        <v>867.17</v>
      </c>
      <c r="BY28" s="188">
        <f t="shared" si="19"/>
        <v>867.17</v>
      </c>
      <c r="BZ28" s="166">
        <f t="shared" si="34"/>
        <v>786.2056</v>
      </c>
      <c r="CA28" s="172"/>
      <c r="CB28" s="188">
        <f t="shared" si="20"/>
        <v>1146.7764</v>
      </c>
      <c r="CC28" s="218">
        <f>VLOOKUP(B:B,[3]门店完成率!$A:$Y,25,0)</f>
        <v>0.90940090725806499</v>
      </c>
      <c r="CD28" s="188">
        <f>CB28*0.5+CB28*0.5*CC28</f>
        <v>1094.8279492910699</v>
      </c>
      <c r="CE28" s="188">
        <f t="shared" si="32"/>
        <v>1094.83</v>
      </c>
      <c r="CF28" s="188">
        <f t="shared" si="22"/>
        <v>-159.07249999999999</v>
      </c>
      <c r="CG28" s="188">
        <f t="shared" si="33"/>
        <v>-159.07</v>
      </c>
    </row>
    <row r="29" spans="1:249" s="154" customFormat="1" ht="12.95" customHeight="1">
      <c r="A29" s="172">
        <v>26</v>
      </c>
      <c r="B29" s="172">
        <v>710</v>
      </c>
      <c r="C29" s="172" t="s">
        <v>71</v>
      </c>
      <c r="D29" s="172" t="s">
        <v>63</v>
      </c>
      <c r="E29" s="173">
        <v>2</v>
      </c>
      <c r="F29" s="173">
        <v>3</v>
      </c>
      <c r="G29" s="173">
        <v>4</v>
      </c>
      <c r="H29" s="173">
        <v>1</v>
      </c>
      <c r="I29" s="173">
        <v>2</v>
      </c>
      <c r="J29" s="165">
        <v>0</v>
      </c>
      <c r="K29" s="165">
        <v>0</v>
      </c>
      <c r="L29" s="165">
        <v>0</v>
      </c>
      <c r="M29" s="165">
        <v>0</v>
      </c>
      <c r="N29" s="165">
        <f t="shared" si="3"/>
        <v>-2</v>
      </c>
      <c r="O29" s="165">
        <f t="shared" si="4"/>
        <v>-2</v>
      </c>
      <c r="P29" s="165">
        <f>K29*70+L29*15+M29*40</f>
        <v>0</v>
      </c>
      <c r="Q29" s="165">
        <f>N29*15</f>
        <v>-30</v>
      </c>
      <c r="R29" s="190">
        <v>941</v>
      </c>
      <c r="S29" s="11">
        <v>1035.0999999999999</v>
      </c>
      <c r="T29" s="11">
        <v>1129.2</v>
      </c>
      <c r="U29" s="11">
        <v>3</v>
      </c>
      <c r="V29" s="190">
        <v>1129.2</v>
      </c>
      <c r="W29" s="188">
        <f>VLOOKUP(B:B,[1]Sheet1!$F$1:$G$65536,2,0)</f>
        <v>1417.6</v>
      </c>
      <c r="X29" s="188">
        <f t="shared" si="5"/>
        <v>476.6</v>
      </c>
      <c r="Y29" s="188">
        <f t="shared" si="6"/>
        <v>288.39999999999998</v>
      </c>
      <c r="Z29" s="188">
        <f>W29*0.11</f>
        <v>155.93600000000001</v>
      </c>
      <c r="AA29" s="190"/>
      <c r="AB29" s="173">
        <v>50</v>
      </c>
      <c r="AC29" s="198">
        <v>55</v>
      </c>
      <c r="AD29" s="198">
        <v>60</v>
      </c>
      <c r="AE29" s="178">
        <v>1</v>
      </c>
      <c r="AF29" s="199">
        <v>50</v>
      </c>
      <c r="AG29" s="206">
        <f>VLOOKUP(B:B,[1]Sheet3!$G$1:$H$65536,2,0)</f>
        <v>27</v>
      </c>
      <c r="AH29" s="206">
        <f>VLOOKUP(B:B,[1]Sheet5!$E$1:$F$65536,2,0)</f>
        <v>6</v>
      </c>
      <c r="AI29" s="206">
        <f>VLOOKUP(B:B,[1]Sheet8!$G$1:$H$65536,2,0)</f>
        <v>9</v>
      </c>
      <c r="AJ29" s="206">
        <f t="shared" si="7"/>
        <v>42</v>
      </c>
      <c r="AK29" s="196">
        <f t="shared" si="8"/>
        <v>-8</v>
      </c>
      <c r="AL29" s="196">
        <f t="shared" si="9"/>
        <v>-8</v>
      </c>
      <c r="AM29" s="199"/>
      <c r="AN29" s="196">
        <f>AK29*1</f>
        <v>-8</v>
      </c>
      <c r="AO29" s="172">
        <v>329.4</v>
      </c>
      <c r="AP29" s="172">
        <v>362.34</v>
      </c>
      <c r="AQ29" s="172">
        <v>395.28</v>
      </c>
      <c r="AR29" s="172">
        <v>3</v>
      </c>
      <c r="AS29" s="172">
        <v>395.28</v>
      </c>
      <c r="AT29" s="188">
        <f>VLOOKUP(B:B,[1]Sheet10!$F$1:$G$65536,2,0)</f>
        <v>166.4</v>
      </c>
      <c r="AU29" s="188">
        <f>VLOOKUP(B:B,[1]Sheet12!$G$1:$H$65536,2,0)</f>
        <v>267.8</v>
      </c>
      <c r="AV29" s="188">
        <f t="shared" si="10"/>
        <v>434.2</v>
      </c>
      <c r="AW29" s="188">
        <f t="shared" si="11"/>
        <v>104.8</v>
      </c>
      <c r="AX29" s="188">
        <f t="shared" si="12"/>
        <v>38.920000000000101</v>
      </c>
      <c r="AY29" s="168">
        <f>AT29*0.09+AU29*0.05</f>
        <v>28.366</v>
      </c>
      <c r="AZ29" s="172"/>
      <c r="BA29" s="190">
        <f>VLOOKUP(B:B,[6]查询时间段分门店销售明细!$B$1:$X$65536,23,0)</f>
        <v>2723.4</v>
      </c>
      <c r="BB29" s="188">
        <f>VLOOKUP(B:B,[1]Sheet14!$G$1:$I$65536,3,0)</f>
        <v>2792.61</v>
      </c>
      <c r="BC29" s="188">
        <v>0</v>
      </c>
      <c r="BD29" s="188">
        <f t="shared" si="13"/>
        <v>2792.61</v>
      </c>
      <c r="BE29" s="188">
        <f t="shared" si="14"/>
        <v>69.209999999999994</v>
      </c>
      <c r="BF29" s="188">
        <f t="shared" si="15"/>
        <v>279.26100000000002</v>
      </c>
      <c r="BG29" s="172"/>
      <c r="BH29" s="172">
        <v>858.24</v>
      </c>
      <c r="BI29" s="172">
        <v>944.06399999999996</v>
      </c>
      <c r="BJ29" s="172">
        <v>1029.8879999999999</v>
      </c>
      <c r="BK29" s="172">
        <v>1</v>
      </c>
      <c r="BL29" s="172">
        <v>858.24</v>
      </c>
      <c r="BM29" s="188">
        <f>VLOOKUP(B:B,[1]Sheet17!$E$1:$F$65536,2,0)</f>
        <v>178</v>
      </c>
      <c r="BN29" s="188">
        <f t="shared" si="16"/>
        <v>-680.24</v>
      </c>
      <c r="BO29" s="188">
        <f t="shared" si="17"/>
        <v>-680.24</v>
      </c>
      <c r="BP29" s="188">
        <f>BM29*0.15</f>
        <v>26.7</v>
      </c>
      <c r="BQ29" s="188">
        <f>BN29*0.05</f>
        <v>-34.012</v>
      </c>
      <c r="BR29" s="172">
        <v>5038.2</v>
      </c>
      <c r="BS29" s="172">
        <v>5542.02</v>
      </c>
      <c r="BT29" s="172">
        <v>6045.84</v>
      </c>
      <c r="BU29" s="172">
        <v>1</v>
      </c>
      <c r="BV29" s="172">
        <v>5038.2</v>
      </c>
      <c r="BW29" s="188">
        <f>VLOOKUP(B:B,[2]Sheet1!$G$1:$H$65536,2,0)</f>
        <v>5413.32</v>
      </c>
      <c r="BX29" s="188">
        <f t="shared" si="18"/>
        <v>375.12</v>
      </c>
      <c r="BY29" s="188">
        <f t="shared" si="19"/>
        <v>375.12</v>
      </c>
      <c r="BZ29" s="166">
        <f t="shared" si="34"/>
        <v>433.06560000000002</v>
      </c>
      <c r="CA29" s="172"/>
      <c r="CB29" s="188">
        <f t="shared" si="20"/>
        <v>923.32860000000005</v>
      </c>
      <c r="CC29" s="218">
        <f>VLOOKUP(B:B,[3]门店完成率!$A:$Y,25,0)</f>
        <v>0.93640302419354804</v>
      </c>
      <c r="CD29" s="188">
        <f>CB29*0.5+CB29*0.5*CC29</f>
        <v>893.96814668219702</v>
      </c>
      <c r="CE29" s="188">
        <f t="shared" si="32"/>
        <v>893.97</v>
      </c>
      <c r="CF29" s="188">
        <f t="shared" si="22"/>
        <v>-72.012</v>
      </c>
      <c r="CG29" s="188">
        <f t="shared" si="33"/>
        <v>-72.010000000000005</v>
      </c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</row>
    <row r="30" spans="1:249" s="154" customFormat="1" ht="12.95" customHeight="1">
      <c r="A30" s="172">
        <v>27</v>
      </c>
      <c r="B30" s="172">
        <v>713</v>
      </c>
      <c r="C30" s="172" t="s">
        <v>72</v>
      </c>
      <c r="D30" s="172" t="s">
        <v>63</v>
      </c>
      <c r="E30" s="173">
        <v>1</v>
      </c>
      <c r="F30" s="173">
        <v>2</v>
      </c>
      <c r="G30" s="173">
        <v>3</v>
      </c>
      <c r="H30" s="173">
        <v>1</v>
      </c>
      <c r="I30" s="173">
        <v>1</v>
      </c>
      <c r="J30" s="165">
        <v>1</v>
      </c>
      <c r="K30" s="165">
        <f>VLOOKUP(B:B,[5]Sheet1!$I$1:$K$65536,3,0)</f>
        <v>1</v>
      </c>
      <c r="L30" s="165">
        <f>VLOOKUP(B:B,[5]Sheet1!$I$1:$M$65536,5,0)</f>
        <v>0</v>
      </c>
      <c r="M30" s="165">
        <f>VLOOKUP(B:B,[5]Sheet1!$I$1:$N$65536,6,0)</f>
        <v>0</v>
      </c>
      <c r="N30" s="165">
        <f t="shared" si="3"/>
        <v>0</v>
      </c>
      <c r="O30" s="165">
        <f t="shared" si="4"/>
        <v>0</v>
      </c>
      <c r="P30" s="165">
        <f>K30*90+L30*15+M30*40</f>
        <v>90</v>
      </c>
      <c r="Q30" s="165"/>
      <c r="R30" s="190">
        <v>1428</v>
      </c>
      <c r="S30" s="11">
        <v>1570.8</v>
      </c>
      <c r="T30" s="11">
        <v>1713.6</v>
      </c>
      <c r="U30" s="11">
        <v>1</v>
      </c>
      <c r="V30" s="190">
        <v>1428</v>
      </c>
      <c r="W30" s="188">
        <f>VLOOKUP(B:B,[1]Sheet1!$F$1:$G$65536,2,0)</f>
        <v>1437.54</v>
      </c>
      <c r="X30" s="188">
        <f t="shared" si="5"/>
        <v>9.5399999999999601</v>
      </c>
      <c r="Y30" s="188">
        <f t="shared" si="6"/>
        <v>9.5399999999999601</v>
      </c>
      <c r="Z30" s="188">
        <f>W30*0.07</f>
        <v>100.62779999999999</v>
      </c>
      <c r="AA30" s="190"/>
      <c r="AB30" s="173">
        <v>31</v>
      </c>
      <c r="AC30" s="198">
        <v>34</v>
      </c>
      <c r="AD30" s="198">
        <v>37</v>
      </c>
      <c r="AE30" s="178">
        <v>1</v>
      </c>
      <c r="AF30" s="199">
        <v>31</v>
      </c>
      <c r="AG30" s="206">
        <f>VLOOKUP(B:B,[1]Sheet3!$G$1:$H$65536,2,0)</f>
        <v>6</v>
      </c>
      <c r="AH30" s="206">
        <f>VLOOKUP(B:B,[1]Sheet5!$E$1:$F$65536,2,0)</f>
        <v>3</v>
      </c>
      <c r="AI30" s="206">
        <f>VLOOKUP(B:B,[1]Sheet8!$G$1:$H$65536,2,0)</f>
        <v>5</v>
      </c>
      <c r="AJ30" s="206">
        <f t="shared" si="7"/>
        <v>14</v>
      </c>
      <c r="AK30" s="196">
        <f t="shared" si="8"/>
        <v>-17</v>
      </c>
      <c r="AL30" s="196">
        <f t="shared" si="9"/>
        <v>-17</v>
      </c>
      <c r="AM30" s="199"/>
      <c r="AN30" s="196">
        <f>AK30*1</f>
        <v>-17</v>
      </c>
      <c r="AO30" s="172">
        <v>202.5</v>
      </c>
      <c r="AP30" s="172">
        <v>222.75</v>
      </c>
      <c r="AQ30" s="172">
        <v>243</v>
      </c>
      <c r="AR30" s="172">
        <v>1</v>
      </c>
      <c r="AS30" s="172">
        <v>202.5</v>
      </c>
      <c r="AT30" s="188">
        <f>VLOOKUP(B:B,[1]Sheet10!$F$1:$G$65536,2,0)</f>
        <v>101.74</v>
      </c>
      <c r="AU30" s="188">
        <f>VLOOKUP(B:B,[1]Sheet12!$G$1:$H$65536,2,0)</f>
        <v>222</v>
      </c>
      <c r="AV30" s="188">
        <f t="shared" si="10"/>
        <v>323.74</v>
      </c>
      <c r="AW30" s="188">
        <f t="shared" si="11"/>
        <v>121.24</v>
      </c>
      <c r="AX30" s="188">
        <f t="shared" si="12"/>
        <v>121.24</v>
      </c>
      <c r="AY30" s="166">
        <f>AT30*0.05+AU30*0.03</f>
        <v>11.747</v>
      </c>
      <c r="AZ30" s="172"/>
      <c r="BA30" s="190">
        <f>VLOOKUP(B:B,[7]查询时间段分门店销售明细!$B$1:$X$65536,23,0)</f>
        <v>2225</v>
      </c>
      <c r="BB30" s="188">
        <f>VLOOKUP(B:B,[1]Sheet14!$G$1:$I$65536,3,0)</f>
        <v>2642.14</v>
      </c>
      <c r="BC30" s="188">
        <v>0</v>
      </c>
      <c r="BD30" s="188">
        <f t="shared" si="13"/>
        <v>2642.14</v>
      </c>
      <c r="BE30" s="188">
        <f t="shared" si="14"/>
        <v>417.14</v>
      </c>
      <c r="BF30" s="188">
        <f t="shared" si="15"/>
        <v>264.214</v>
      </c>
      <c r="BG30" s="172"/>
      <c r="BH30" s="172">
        <v>591.84</v>
      </c>
      <c r="BI30" s="172">
        <v>651.024</v>
      </c>
      <c r="BJ30" s="172">
        <v>710.20799999999997</v>
      </c>
      <c r="BK30" s="172">
        <v>1</v>
      </c>
      <c r="BL30" s="172">
        <v>591.84</v>
      </c>
      <c r="BM30" s="188">
        <f>VLOOKUP(B:B,[1]Sheet17!$E$1:$F$65536,2,0)</f>
        <v>241</v>
      </c>
      <c r="BN30" s="188">
        <f t="shared" si="16"/>
        <v>-350.84</v>
      </c>
      <c r="BO30" s="188">
        <f t="shared" si="17"/>
        <v>-350.84</v>
      </c>
      <c r="BP30" s="188">
        <f>BM30*0.15</f>
        <v>36.15</v>
      </c>
      <c r="BQ30" s="188">
        <f>BN30*0.05</f>
        <v>-17.542000000000002</v>
      </c>
      <c r="BR30" s="172">
        <v>8478</v>
      </c>
      <c r="BS30" s="172">
        <v>9325.7999999999993</v>
      </c>
      <c r="BT30" s="172">
        <v>10173.6</v>
      </c>
      <c r="BU30" s="172">
        <v>1</v>
      </c>
      <c r="BV30" s="172">
        <v>8478</v>
      </c>
      <c r="BW30" s="188">
        <f>VLOOKUP(B:B,[2]Sheet1!$G$1:$H$65536,2,0)</f>
        <v>2661.65</v>
      </c>
      <c r="BX30" s="188">
        <f t="shared" si="18"/>
        <v>-5816.35</v>
      </c>
      <c r="BY30" s="188">
        <f t="shared" si="19"/>
        <v>-5816.35</v>
      </c>
      <c r="BZ30" s="166">
        <f t="shared" si="34"/>
        <v>212.93199999999999</v>
      </c>
      <c r="CA30" s="174">
        <f>BX30*0.05</f>
        <v>-290.8175</v>
      </c>
      <c r="CB30" s="188">
        <f t="shared" si="20"/>
        <v>715.67079999999999</v>
      </c>
      <c r="CC30" s="218">
        <f>VLOOKUP(B:B,[3]门店完成率!$A:$Y,25,0)</f>
        <v>0.67307494623655895</v>
      </c>
      <c r="CD30" s="188">
        <f>CB30*0.5+CB30*0.5*CC30</f>
        <v>598.68544261653801</v>
      </c>
      <c r="CE30" s="188">
        <f t="shared" si="32"/>
        <v>598.69000000000005</v>
      </c>
      <c r="CF30" s="188">
        <f t="shared" si="22"/>
        <v>-325.35950000000003</v>
      </c>
      <c r="CG30" s="188">
        <f t="shared" si="33"/>
        <v>-325.36</v>
      </c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</row>
    <row r="31" spans="1:249" s="155" customFormat="1" ht="12.95" customHeight="1">
      <c r="A31" s="174">
        <v>28</v>
      </c>
      <c r="B31" s="174">
        <v>738</v>
      </c>
      <c r="C31" s="174" t="s">
        <v>73</v>
      </c>
      <c r="D31" s="174" t="s">
        <v>63</v>
      </c>
      <c r="E31" s="175">
        <v>2</v>
      </c>
      <c r="F31" s="175">
        <v>3</v>
      </c>
      <c r="G31" s="175">
        <v>4</v>
      </c>
      <c r="H31" s="175">
        <v>1</v>
      </c>
      <c r="I31" s="175">
        <v>2</v>
      </c>
      <c r="J31" s="165">
        <v>0</v>
      </c>
      <c r="K31" s="165">
        <f>VLOOKUP(B:B,[5]Sheet1!$I$1:$K$65536,3,0)</f>
        <v>0</v>
      </c>
      <c r="L31" s="165">
        <f>VLOOKUP(B:B,[5]Sheet1!$I$1:$M$65536,5,0)</f>
        <v>0</v>
      </c>
      <c r="M31" s="165">
        <f>VLOOKUP(B:B,[5]Sheet1!$I$1:$N$65536,6,0)</f>
        <v>0</v>
      </c>
      <c r="N31" s="165">
        <f t="shared" si="3"/>
        <v>-2</v>
      </c>
      <c r="O31" s="165">
        <f t="shared" si="4"/>
        <v>-2</v>
      </c>
      <c r="P31" s="165">
        <f>K31*70+L31*15+M31*40</f>
        <v>0</v>
      </c>
      <c r="Q31" s="165">
        <f>N31*15</f>
        <v>-30</v>
      </c>
      <c r="R31" s="191">
        <v>1646</v>
      </c>
      <c r="S31" s="192">
        <v>1810.6</v>
      </c>
      <c r="T31" s="192">
        <v>1975.2</v>
      </c>
      <c r="U31" s="192">
        <v>3</v>
      </c>
      <c r="V31" s="191">
        <v>1975.2</v>
      </c>
      <c r="W31" s="188">
        <f>VLOOKUP(B:B,[1]Sheet1!$F$1:$G$65536,2,0)</f>
        <v>2336.62</v>
      </c>
      <c r="X31" s="188">
        <f t="shared" si="5"/>
        <v>690.62</v>
      </c>
      <c r="Y31" s="188">
        <f t="shared" si="6"/>
        <v>361.42</v>
      </c>
      <c r="Z31" s="188">
        <f>W31*0.11</f>
        <v>257.02820000000003</v>
      </c>
      <c r="AA31" s="191"/>
      <c r="AB31" s="175">
        <v>55</v>
      </c>
      <c r="AC31" s="200">
        <v>61</v>
      </c>
      <c r="AD31" s="200">
        <v>66</v>
      </c>
      <c r="AE31" s="201">
        <v>1</v>
      </c>
      <c r="AF31" s="202">
        <v>55</v>
      </c>
      <c r="AG31" s="206">
        <f>VLOOKUP(B:B,[1]Sheet3!$G$1:$H$65536,2,0)</f>
        <v>32</v>
      </c>
      <c r="AH31" s="206">
        <f>VLOOKUP(B:B,[1]Sheet5!$E$1:$F$65536,2,0)</f>
        <v>8</v>
      </c>
      <c r="AI31" s="206">
        <f>VLOOKUP(B:B,[1]Sheet8!$G$1:$H$65536,2,0)</f>
        <v>15</v>
      </c>
      <c r="AJ31" s="206">
        <f t="shared" si="7"/>
        <v>55</v>
      </c>
      <c r="AK31" s="196">
        <f t="shared" si="8"/>
        <v>0</v>
      </c>
      <c r="AL31" s="196">
        <f t="shared" si="9"/>
        <v>0</v>
      </c>
      <c r="AM31" s="196">
        <f>AG31*1+AH31*0.5+AI31*2</f>
        <v>66</v>
      </c>
      <c r="AN31" s="202"/>
      <c r="AO31" s="174">
        <v>269.10000000000002</v>
      </c>
      <c r="AP31" s="174">
        <v>296.01</v>
      </c>
      <c r="AQ31" s="174">
        <v>322.92</v>
      </c>
      <c r="AR31" s="174">
        <v>3</v>
      </c>
      <c r="AS31" s="174">
        <v>322.92</v>
      </c>
      <c r="AT31" s="188">
        <f>VLOOKUP(B:B,[1]Sheet10!$F$1:$G$65536,2,0)</f>
        <v>383.4</v>
      </c>
      <c r="AU31" s="188">
        <f>VLOOKUP(B:B,[1]Sheet12!$G$1:$H$65536,2,0)</f>
        <v>38</v>
      </c>
      <c r="AV31" s="188">
        <f t="shared" si="10"/>
        <v>421.4</v>
      </c>
      <c r="AW31" s="188">
        <f t="shared" si="11"/>
        <v>152.30000000000001</v>
      </c>
      <c r="AX31" s="188">
        <f t="shared" si="12"/>
        <v>98.48</v>
      </c>
      <c r="AY31" s="168">
        <f>AT31*0.09+AU31*0.05</f>
        <v>36.405999999999999</v>
      </c>
      <c r="AZ31" s="174"/>
      <c r="BA31" s="191">
        <f>VLOOKUP(B:B,[7]查询时间段分门店销售明细!$B$1:$X$65536,23,0)</f>
        <v>3221.17</v>
      </c>
      <c r="BB31" s="188">
        <f>VLOOKUP(B:B,[1]Sheet14!$G$1:$I$65536,3,0)</f>
        <v>2314</v>
      </c>
      <c r="BC31" s="188">
        <v>23.93</v>
      </c>
      <c r="BD31" s="188">
        <f t="shared" si="13"/>
        <v>2337.9299999999998</v>
      </c>
      <c r="BE31" s="188">
        <f t="shared" si="14"/>
        <v>-883.24</v>
      </c>
      <c r="BF31" s="188">
        <f t="shared" si="15"/>
        <v>232.11789999999999</v>
      </c>
      <c r="BG31" s="210">
        <f>BE31*0.03</f>
        <v>-26.497199999999999</v>
      </c>
      <c r="BH31" s="174">
        <v>1026.72</v>
      </c>
      <c r="BI31" s="174">
        <v>1129.3920000000001</v>
      </c>
      <c r="BJ31" s="174">
        <v>1232.0640000000001</v>
      </c>
      <c r="BK31" s="174">
        <v>3</v>
      </c>
      <c r="BL31" s="174">
        <v>1232.0640000000001</v>
      </c>
      <c r="BM31" s="188">
        <f>VLOOKUP(B:B,[1]Sheet17!$E$1:$F$65536,2,0)</f>
        <v>1360.42</v>
      </c>
      <c r="BN31" s="188">
        <f t="shared" si="16"/>
        <v>333.7</v>
      </c>
      <c r="BO31" s="188">
        <f t="shared" si="17"/>
        <v>128.35599999999999</v>
      </c>
      <c r="BP31" s="188">
        <f>BM31*0.25</f>
        <v>340.10500000000002</v>
      </c>
      <c r="BQ31" s="174"/>
      <c r="BR31" s="174">
        <v>10304.1</v>
      </c>
      <c r="BS31" s="174">
        <v>11334.51</v>
      </c>
      <c r="BT31" s="174">
        <v>12364.92</v>
      </c>
      <c r="BU31" s="174">
        <v>3</v>
      </c>
      <c r="BV31" s="174">
        <v>12364.92</v>
      </c>
      <c r="BW31" s="188">
        <f>VLOOKUP(B:B,[2]Sheet1!$G$1:$H$65536,2,0)</f>
        <v>12390.11</v>
      </c>
      <c r="BX31" s="188">
        <f t="shared" si="18"/>
        <v>2086.0100000000002</v>
      </c>
      <c r="BY31" s="188">
        <f t="shared" si="19"/>
        <v>25.190000000000499</v>
      </c>
      <c r="BZ31" s="166">
        <f>BW31*0.12</f>
        <v>1486.8132000000001</v>
      </c>
      <c r="CA31" s="174"/>
      <c r="CB31" s="188">
        <f t="shared" si="20"/>
        <v>2418.4703</v>
      </c>
      <c r="CC31" s="218">
        <f>VLOOKUP(B:B,[3]门店完成率!$A:$Y,25,0)</f>
        <v>0.94026943972835297</v>
      </c>
      <c r="CD31" s="188">
        <f>CB31*0.5+CB31*0.5*CC31</f>
        <v>2346.2420069903301</v>
      </c>
      <c r="CE31" s="188">
        <f t="shared" si="32"/>
        <v>2346.2399999999998</v>
      </c>
      <c r="CF31" s="188">
        <f t="shared" si="22"/>
        <v>-56.497199999999999</v>
      </c>
      <c r="CG31" s="188">
        <f t="shared" si="33"/>
        <v>-56.5</v>
      </c>
      <c r="FL31" s="159"/>
      <c r="FM31" s="159"/>
      <c r="FN31" s="159"/>
      <c r="FO31" s="159"/>
      <c r="FP31" s="159"/>
      <c r="FQ31" s="159"/>
      <c r="FR31" s="159"/>
      <c r="FS31" s="159"/>
      <c r="FT31" s="159"/>
      <c r="FU31" s="159"/>
      <c r="FV31" s="159"/>
      <c r="FW31" s="159"/>
      <c r="FX31" s="159"/>
      <c r="FY31" s="159"/>
      <c r="FZ31" s="159"/>
      <c r="GA31" s="159"/>
      <c r="GB31" s="159"/>
      <c r="GC31" s="159"/>
      <c r="GD31" s="159"/>
      <c r="GE31" s="159"/>
      <c r="GF31" s="159"/>
      <c r="GG31" s="159"/>
      <c r="GH31" s="159"/>
      <c r="GI31" s="159"/>
      <c r="GJ31" s="159"/>
      <c r="GK31" s="159"/>
      <c r="GL31" s="159"/>
      <c r="GM31" s="159"/>
      <c r="GN31" s="159"/>
      <c r="GO31" s="159"/>
      <c r="GP31" s="159"/>
      <c r="GQ31" s="159"/>
      <c r="GR31" s="159"/>
      <c r="GS31" s="159"/>
      <c r="GT31" s="159"/>
      <c r="GU31" s="159"/>
      <c r="GV31" s="159"/>
      <c r="GW31" s="159"/>
      <c r="GX31" s="159"/>
      <c r="GY31" s="159"/>
      <c r="GZ31" s="159"/>
      <c r="HA31" s="159"/>
      <c r="HB31" s="159"/>
      <c r="HC31" s="159"/>
      <c r="HD31" s="159"/>
      <c r="HE31" s="159"/>
    </row>
    <row r="32" spans="1:249" s="154" customFormat="1" ht="12.95" customHeight="1">
      <c r="A32" s="172">
        <v>29</v>
      </c>
      <c r="B32" s="172">
        <v>329</v>
      </c>
      <c r="C32" s="172" t="s">
        <v>74</v>
      </c>
      <c r="D32" s="172" t="s">
        <v>63</v>
      </c>
      <c r="E32" s="173">
        <v>3</v>
      </c>
      <c r="F32" s="173">
        <v>4</v>
      </c>
      <c r="G32" s="173">
        <v>5</v>
      </c>
      <c r="H32" s="173">
        <v>1</v>
      </c>
      <c r="I32" s="173">
        <v>3</v>
      </c>
      <c r="J32" s="165">
        <v>0</v>
      </c>
      <c r="K32" s="165">
        <v>0</v>
      </c>
      <c r="L32" s="165">
        <v>0</v>
      </c>
      <c r="M32" s="165">
        <v>0</v>
      </c>
      <c r="N32" s="165">
        <f t="shared" si="3"/>
        <v>-3</v>
      </c>
      <c r="O32" s="165">
        <f t="shared" si="4"/>
        <v>-3</v>
      </c>
      <c r="P32" s="165">
        <f>K32*70+L32*15+M32*40</f>
        <v>0</v>
      </c>
      <c r="Q32" s="165">
        <f>N32*15</f>
        <v>-45</v>
      </c>
      <c r="R32" s="190">
        <v>2931</v>
      </c>
      <c r="S32" s="11">
        <v>3224.1</v>
      </c>
      <c r="T32" s="11">
        <v>3517.2</v>
      </c>
      <c r="U32" s="11">
        <v>1</v>
      </c>
      <c r="V32" s="190">
        <v>2931</v>
      </c>
      <c r="W32" s="188">
        <f>VLOOKUP(B:B,[1]Sheet1!$F$1:$G$65536,2,0)</f>
        <v>5009.83</v>
      </c>
      <c r="X32" s="188">
        <f t="shared" si="5"/>
        <v>2078.83</v>
      </c>
      <c r="Y32" s="188">
        <f t="shared" si="6"/>
        <v>2078.83</v>
      </c>
      <c r="Z32" s="188">
        <f>W32*0.07</f>
        <v>350.68810000000002</v>
      </c>
      <c r="AA32" s="190"/>
      <c r="AB32" s="173">
        <v>92</v>
      </c>
      <c r="AC32" s="198">
        <v>101</v>
      </c>
      <c r="AD32" s="198">
        <v>110</v>
      </c>
      <c r="AE32" s="178">
        <v>1</v>
      </c>
      <c r="AF32" s="199">
        <v>92</v>
      </c>
      <c r="AG32" s="206">
        <f>VLOOKUP(B:B,[1]Sheet3!$G$1:$H$65536,2,0)</f>
        <v>25</v>
      </c>
      <c r="AH32" s="206">
        <f>VLOOKUP(B:B,[1]Sheet5!$E$1:$F$65536,2,0)</f>
        <v>15</v>
      </c>
      <c r="AI32" s="206">
        <f>VLOOKUP(B:B,[1]Sheet8!$G$1:$H$65536,2,0)</f>
        <v>20</v>
      </c>
      <c r="AJ32" s="206">
        <f t="shared" si="7"/>
        <v>60</v>
      </c>
      <c r="AK32" s="196">
        <f t="shared" si="8"/>
        <v>-32</v>
      </c>
      <c r="AL32" s="196">
        <f t="shared" si="9"/>
        <v>-32</v>
      </c>
      <c r="AM32" s="199"/>
      <c r="AN32" s="196">
        <f>AK32*1</f>
        <v>-32</v>
      </c>
      <c r="AO32" s="172">
        <v>441</v>
      </c>
      <c r="AP32" s="172">
        <v>485.1</v>
      </c>
      <c r="AQ32" s="172">
        <v>529.20000000000005</v>
      </c>
      <c r="AR32" s="172">
        <v>1</v>
      </c>
      <c r="AS32" s="172">
        <v>441</v>
      </c>
      <c r="AT32" s="188">
        <f>VLOOKUP(B:B,[1]Sheet10!$F$1:$G$65536,2,0)</f>
        <v>330.7</v>
      </c>
      <c r="AU32" s="188">
        <f>VLOOKUP(B:B,[1]Sheet12!$G$1:$H$65536,2,0)</f>
        <v>114</v>
      </c>
      <c r="AV32" s="188">
        <f t="shared" si="10"/>
        <v>444.7</v>
      </c>
      <c r="AW32" s="188">
        <f t="shared" si="11"/>
        <v>3.69999999999999</v>
      </c>
      <c r="AX32" s="188">
        <f t="shared" si="12"/>
        <v>3.69999999999999</v>
      </c>
      <c r="AY32" s="166">
        <f>AT32*0.05+AU32*0.03</f>
        <v>19.954999999999998</v>
      </c>
      <c r="AZ32" s="172"/>
      <c r="BA32" s="190">
        <f>VLOOKUP(B:B,[6]查询时间段分门店销售明细!$B$1:$X$65536,23,0)</f>
        <v>4641.54</v>
      </c>
      <c r="BB32" s="188">
        <f>VLOOKUP(B:B,[1]Sheet14!$G$1:$I$65536,3,0)</f>
        <v>3626.2</v>
      </c>
      <c r="BC32" s="188">
        <v>50.72</v>
      </c>
      <c r="BD32" s="188">
        <f t="shared" si="13"/>
        <v>3676.92</v>
      </c>
      <c r="BE32" s="188">
        <f t="shared" si="14"/>
        <v>-964.62</v>
      </c>
      <c r="BF32" s="188">
        <f t="shared" si="15"/>
        <v>364.14159999999998</v>
      </c>
      <c r="BG32" s="210">
        <f>BE32*0.03</f>
        <v>-28.938600000000001</v>
      </c>
      <c r="BH32" s="172">
        <v>1838.16</v>
      </c>
      <c r="BI32" s="172">
        <v>2021.9760000000001</v>
      </c>
      <c r="BJ32" s="172">
        <v>2205.7919999999999</v>
      </c>
      <c r="BK32" s="172">
        <v>2</v>
      </c>
      <c r="BL32" s="172">
        <v>2021.9760000000001</v>
      </c>
      <c r="BM32" s="188">
        <f>VLOOKUP(B:B,[1]Sheet17!$E$1:$F$65536,2,0)</f>
        <v>195</v>
      </c>
      <c r="BN32" s="188">
        <f t="shared" si="16"/>
        <v>-1643.16</v>
      </c>
      <c r="BO32" s="188">
        <f t="shared" si="17"/>
        <v>-1826.9760000000001</v>
      </c>
      <c r="BP32" s="188">
        <f>BM32*0.15</f>
        <v>29.25</v>
      </c>
      <c r="BQ32" s="188">
        <f>BN32*0.05</f>
        <v>-82.158000000000001</v>
      </c>
      <c r="BR32" s="172">
        <v>28483.200000000001</v>
      </c>
      <c r="BS32" s="172">
        <v>31331.52</v>
      </c>
      <c r="BT32" s="172">
        <v>34179.839999999997</v>
      </c>
      <c r="BU32" s="172">
        <v>2</v>
      </c>
      <c r="BV32" s="172">
        <v>31331.52</v>
      </c>
      <c r="BW32" s="188">
        <f>VLOOKUP(B:B,[2]Sheet1!$G$1:$H$65536,2,0)</f>
        <v>27243.99</v>
      </c>
      <c r="BX32" s="188">
        <f t="shared" si="18"/>
        <v>-1239.21</v>
      </c>
      <c r="BY32" s="188">
        <f t="shared" si="19"/>
        <v>-4087.53</v>
      </c>
      <c r="BZ32" s="166">
        <f>BW32*0.08</f>
        <v>2179.5192000000002</v>
      </c>
      <c r="CA32" s="174">
        <f>BX32*0.05</f>
        <v>-61.960500000000003</v>
      </c>
      <c r="CB32" s="188">
        <f t="shared" si="20"/>
        <v>2943.5538999999999</v>
      </c>
      <c r="CC32" s="218">
        <f>VLOOKUP(B:B,[3]门店完成率!$A:$Y,25,0)</f>
        <v>0.88612238213399497</v>
      </c>
      <c r="CD32" s="188">
        <f>CB32*0.5+CB32*0.5*CC32</f>
        <v>2775.95144690391</v>
      </c>
      <c r="CE32" s="188">
        <f t="shared" si="32"/>
        <v>2775.95</v>
      </c>
      <c r="CF32" s="188">
        <f t="shared" si="22"/>
        <v>-250.05709999999999</v>
      </c>
      <c r="CG32" s="188">
        <f t="shared" si="33"/>
        <v>-250.06</v>
      </c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</row>
    <row r="33" spans="1:241" s="154" customFormat="1" ht="12.95" customHeight="1">
      <c r="A33" s="172">
        <v>30</v>
      </c>
      <c r="B33" s="72">
        <v>754</v>
      </c>
      <c r="C33" s="72" t="s">
        <v>75</v>
      </c>
      <c r="D33" s="172" t="s">
        <v>63</v>
      </c>
      <c r="E33" s="173">
        <v>2</v>
      </c>
      <c r="F33" s="173">
        <v>3</v>
      </c>
      <c r="G33" s="173">
        <v>4</v>
      </c>
      <c r="H33" s="173">
        <v>1</v>
      </c>
      <c r="I33" s="173">
        <v>2</v>
      </c>
      <c r="J33" s="165">
        <v>2</v>
      </c>
      <c r="K33" s="165">
        <f>VLOOKUP(B:B,[5]Sheet1!$I$1:$K$65536,3,0)</f>
        <v>0</v>
      </c>
      <c r="L33" s="165">
        <f>VLOOKUP(B:B,[5]Sheet1!$I$1:$M$65536,5,0)</f>
        <v>2</v>
      </c>
      <c r="M33" s="165">
        <f>VLOOKUP(B:B,[5]Sheet1!$I$1:$N$65536,6,0)</f>
        <v>0</v>
      </c>
      <c r="N33" s="165">
        <f t="shared" si="3"/>
        <v>0</v>
      </c>
      <c r="O33" s="165">
        <f t="shared" si="4"/>
        <v>0</v>
      </c>
      <c r="P33" s="165">
        <f>K33*90+L33*15+M33*40</f>
        <v>30</v>
      </c>
      <c r="Q33" s="165"/>
      <c r="R33" s="190">
        <v>1234</v>
      </c>
      <c r="S33" s="11">
        <v>1357.4</v>
      </c>
      <c r="T33" s="11">
        <v>1480.8</v>
      </c>
      <c r="U33" s="11">
        <v>3</v>
      </c>
      <c r="V33" s="190">
        <v>1480.8</v>
      </c>
      <c r="W33" s="188">
        <f>VLOOKUP(B:B,[1]Sheet1!$F$1:$G$65536,2,0)</f>
        <v>1114.44</v>
      </c>
      <c r="X33" s="188">
        <f t="shared" si="5"/>
        <v>-119.56</v>
      </c>
      <c r="Y33" s="188">
        <f t="shared" si="6"/>
        <v>-366.36</v>
      </c>
      <c r="Z33" s="190"/>
      <c r="AA33" s="197">
        <f>X33*0.05</f>
        <v>-5.9779999999999998</v>
      </c>
      <c r="AB33" s="173">
        <v>66</v>
      </c>
      <c r="AC33" s="198">
        <v>73</v>
      </c>
      <c r="AD33" s="198">
        <v>79</v>
      </c>
      <c r="AE33" s="178">
        <v>3</v>
      </c>
      <c r="AF33" s="199">
        <v>79</v>
      </c>
      <c r="AG33" s="206">
        <f>VLOOKUP(B:B,[1]Sheet3!$G$1:$H$65536,2,0)</f>
        <v>83</v>
      </c>
      <c r="AH33" s="206">
        <f>VLOOKUP(B:B,[1]Sheet5!$E$1:$F$65536,2,0)</f>
        <v>9</v>
      </c>
      <c r="AI33" s="206">
        <f>VLOOKUP(B:B,[1]Sheet8!$G$1:$H$65536,2,0)</f>
        <v>63</v>
      </c>
      <c r="AJ33" s="206">
        <f t="shared" si="7"/>
        <v>155</v>
      </c>
      <c r="AK33" s="196">
        <f t="shared" si="8"/>
        <v>89</v>
      </c>
      <c r="AL33" s="196">
        <f t="shared" si="9"/>
        <v>76</v>
      </c>
      <c r="AM33" s="196">
        <f>AG33*2.5+AH33*1.5+AI33*4</f>
        <v>473</v>
      </c>
      <c r="AN33" s="199"/>
      <c r="AO33" s="172">
        <v>287.10000000000002</v>
      </c>
      <c r="AP33" s="172">
        <v>315.81</v>
      </c>
      <c r="AQ33" s="172">
        <v>344.52</v>
      </c>
      <c r="AR33" s="172">
        <v>3</v>
      </c>
      <c r="AS33" s="172">
        <v>344.52</v>
      </c>
      <c r="AT33" s="188">
        <f>VLOOKUP(B:B,[1]Sheet10!$F$1:$G$65536,2,0)</f>
        <v>169.9</v>
      </c>
      <c r="AU33" s="188">
        <f>VLOOKUP(B:B,[1]Sheet12!$G$1:$H$65536,2,0)</f>
        <v>679</v>
      </c>
      <c r="AV33" s="188">
        <f t="shared" si="10"/>
        <v>848.9</v>
      </c>
      <c r="AW33" s="188">
        <f t="shared" si="11"/>
        <v>561.79999999999995</v>
      </c>
      <c r="AX33" s="188">
        <f t="shared" si="12"/>
        <v>504.38</v>
      </c>
      <c r="AY33" s="168">
        <f>AT33*0.09+AU33*0.05</f>
        <v>49.241</v>
      </c>
      <c r="AZ33" s="172"/>
      <c r="BA33" s="190">
        <v>2000</v>
      </c>
      <c r="BB33" s="188">
        <f>VLOOKUP(B:B,[1]Sheet14!$G$1:$I$65536,3,0)</f>
        <v>18051.2</v>
      </c>
      <c r="BC33" s="188">
        <v>0</v>
      </c>
      <c r="BD33" s="188">
        <f t="shared" si="13"/>
        <v>18051.2</v>
      </c>
      <c r="BE33" s="188">
        <f t="shared" si="14"/>
        <v>16051.2</v>
      </c>
      <c r="BF33" s="188">
        <f t="shared" si="15"/>
        <v>1805.12</v>
      </c>
      <c r="BG33" s="172"/>
      <c r="BH33" s="172">
        <v>1000.08</v>
      </c>
      <c r="BI33" s="172">
        <v>1100.088</v>
      </c>
      <c r="BJ33" s="172">
        <v>1200.096</v>
      </c>
      <c r="BK33" s="172">
        <v>3</v>
      </c>
      <c r="BL33" s="172">
        <v>1200.096</v>
      </c>
      <c r="BM33" s="188">
        <f>VLOOKUP(B:B,[1]Sheet17!$E$1:$F$65536,2,0)</f>
        <v>2780</v>
      </c>
      <c r="BN33" s="188">
        <f t="shared" si="16"/>
        <v>1779.92</v>
      </c>
      <c r="BO33" s="188">
        <f t="shared" si="17"/>
        <v>1579.904</v>
      </c>
      <c r="BP33" s="188">
        <f>BM33*0.25</f>
        <v>695</v>
      </c>
      <c r="BQ33" s="172"/>
      <c r="BR33" s="172">
        <v>7475.3409600000005</v>
      </c>
      <c r="BS33" s="172">
        <v>8222.8750560000008</v>
      </c>
      <c r="BT33" s="172">
        <v>8970.4091520000002</v>
      </c>
      <c r="BU33" s="172">
        <v>3</v>
      </c>
      <c r="BV33" s="172">
        <v>8970.4091520000002</v>
      </c>
      <c r="BW33" s="188">
        <f>VLOOKUP(B:B,[2]Sheet1!$G$1:$H$65536,2,0)</f>
        <v>13411.45</v>
      </c>
      <c r="BX33" s="188">
        <f t="shared" si="18"/>
        <v>5936.1090400000003</v>
      </c>
      <c r="BY33" s="188">
        <f t="shared" si="19"/>
        <v>4441.0408479999996</v>
      </c>
      <c r="BZ33" s="166">
        <f>BW33*0.12</f>
        <v>1609.374</v>
      </c>
      <c r="CA33" s="172"/>
      <c r="CB33" s="188">
        <f t="shared" si="20"/>
        <v>4661.7349999999997</v>
      </c>
      <c r="CC33" s="218">
        <f>VLOOKUP(B:B,[3]门店完成率!$A:$Y,25,0)</f>
        <v>1.2609988172043001</v>
      </c>
      <c r="CD33" s="166">
        <f>CB33</f>
        <v>4661.7349999999997</v>
      </c>
      <c r="CE33" s="188">
        <f t="shared" si="32"/>
        <v>4661.74</v>
      </c>
      <c r="CF33" s="188">
        <f t="shared" si="22"/>
        <v>-5.9779999999999998</v>
      </c>
      <c r="CG33" s="188">
        <f t="shared" si="33"/>
        <v>-5.98</v>
      </c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</row>
    <row r="34" spans="1:241" s="154" customFormat="1" ht="12.95" customHeight="1">
      <c r="A34" s="172">
        <v>31</v>
      </c>
      <c r="B34" s="72">
        <v>755</v>
      </c>
      <c r="C34" s="72" t="s">
        <v>76</v>
      </c>
      <c r="D34" s="172" t="s">
        <v>63</v>
      </c>
      <c r="E34" s="173">
        <v>1</v>
      </c>
      <c r="F34" s="173">
        <v>2</v>
      </c>
      <c r="G34" s="173">
        <v>3</v>
      </c>
      <c r="H34" s="173">
        <v>1</v>
      </c>
      <c r="I34" s="173">
        <v>1</v>
      </c>
      <c r="J34" s="165">
        <v>0</v>
      </c>
      <c r="K34" s="165">
        <v>0</v>
      </c>
      <c r="L34" s="165">
        <v>0</v>
      </c>
      <c r="M34" s="165">
        <v>0</v>
      </c>
      <c r="N34" s="165">
        <f t="shared" si="3"/>
        <v>-1</v>
      </c>
      <c r="O34" s="165">
        <f t="shared" si="4"/>
        <v>-1</v>
      </c>
      <c r="P34" s="165">
        <f>K34*70+L34*15+M34*40</f>
        <v>0</v>
      </c>
      <c r="Q34" s="165">
        <f>N34*15</f>
        <v>-15</v>
      </c>
      <c r="R34" s="190">
        <v>391</v>
      </c>
      <c r="S34" s="11">
        <v>430.1</v>
      </c>
      <c r="T34" s="11">
        <v>469.2</v>
      </c>
      <c r="U34" s="11">
        <v>1</v>
      </c>
      <c r="V34" s="190">
        <v>391</v>
      </c>
      <c r="W34" s="188">
        <f>VLOOKUP(B:B,[1]Sheet1!$F$1:$G$65536,2,0)</f>
        <v>155</v>
      </c>
      <c r="X34" s="188">
        <f t="shared" si="5"/>
        <v>-236</v>
      </c>
      <c r="Y34" s="188">
        <f t="shared" si="6"/>
        <v>-236</v>
      </c>
      <c r="Z34" s="190"/>
      <c r="AA34" s="197">
        <f>X34*0.05</f>
        <v>-11.8</v>
      </c>
      <c r="AB34" s="173">
        <v>25</v>
      </c>
      <c r="AC34" s="198">
        <v>28</v>
      </c>
      <c r="AD34" s="198">
        <v>30</v>
      </c>
      <c r="AE34" s="178">
        <v>1</v>
      </c>
      <c r="AF34" s="199">
        <v>25</v>
      </c>
      <c r="AG34" s="206">
        <f>VLOOKUP(B:B,[1]Sheet3!$G$1:$H$65536,2,0)</f>
        <v>12</v>
      </c>
      <c r="AH34" s="206">
        <v>0</v>
      </c>
      <c r="AI34" s="206">
        <f>VLOOKUP(B:B,[1]Sheet8!$G$1:$H$65536,2,0)</f>
        <v>1</v>
      </c>
      <c r="AJ34" s="206">
        <f t="shared" si="7"/>
        <v>13</v>
      </c>
      <c r="AK34" s="196">
        <f t="shared" si="8"/>
        <v>-12</v>
      </c>
      <c r="AL34" s="196">
        <f t="shared" si="9"/>
        <v>-12</v>
      </c>
      <c r="AM34" s="199"/>
      <c r="AN34" s="196">
        <f>AK34*1</f>
        <v>-12</v>
      </c>
      <c r="AO34" s="172">
        <v>175.5</v>
      </c>
      <c r="AP34" s="172">
        <v>193.05</v>
      </c>
      <c r="AQ34" s="172">
        <v>210.6</v>
      </c>
      <c r="AR34" s="172">
        <v>1</v>
      </c>
      <c r="AS34" s="172">
        <v>175.5</v>
      </c>
      <c r="AT34" s="188">
        <f>VLOOKUP(B:B,[1]Sheet10!$F$1:$G$65536,2,0)</f>
        <v>225.1</v>
      </c>
      <c r="AU34" s="188">
        <f>VLOOKUP(B:B,[1]Sheet12!$G$1:$H$65536,2,0)</f>
        <v>37</v>
      </c>
      <c r="AV34" s="188">
        <f t="shared" si="10"/>
        <v>262.10000000000002</v>
      </c>
      <c r="AW34" s="188">
        <f t="shared" si="11"/>
        <v>86.6</v>
      </c>
      <c r="AX34" s="188">
        <f t="shared" si="12"/>
        <v>86.6</v>
      </c>
      <c r="AY34" s="166">
        <f>AT34*0.05+AU34*0.03</f>
        <v>12.365</v>
      </c>
      <c r="AZ34" s="172"/>
      <c r="BA34" s="190">
        <v>800</v>
      </c>
      <c r="BB34" s="188">
        <f>VLOOKUP(B:B,[1]Sheet14!$G$1:$I$65536,3,0)</f>
        <v>919.11</v>
      </c>
      <c r="BC34" s="188">
        <v>190.44</v>
      </c>
      <c r="BD34" s="188">
        <f t="shared" si="13"/>
        <v>1109.55</v>
      </c>
      <c r="BE34" s="188">
        <f t="shared" si="14"/>
        <v>309.55</v>
      </c>
      <c r="BF34" s="188">
        <f t="shared" si="15"/>
        <v>97.624200000000002</v>
      </c>
      <c r="BG34" s="172"/>
      <c r="BH34" s="172">
        <v>396.72</v>
      </c>
      <c r="BI34" s="172">
        <v>436.392</v>
      </c>
      <c r="BJ34" s="172">
        <v>476.06400000000002</v>
      </c>
      <c r="BK34" s="172">
        <v>1</v>
      </c>
      <c r="BL34" s="172">
        <v>396.72</v>
      </c>
      <c r="BM34" s="188">
        <v>0</v>
      </c>
      <c r="BN34" s="188">
        <f t="shared" si="16"/>
        <v>-396.72</v>
      </c>
      <c r="BO34" s="188">
        <f t="shared" si="17"/>
        <v>-396.72</v>
      </c>
      <c r="BP34" s="188">
        <f>BM34*0.15</f>
        <v>0</v>
      </c>
      <c r="BQ34" s="188">
        <f>BN34*0.05</f>
        <v>-19.835999999999999</v>
      </c>
      <c r="BR34" s="172">
        <v>6262.2</v>
      </c>
      <c r="BS34" s="172">
        <v>6888.42</v>
      </c>
      <c r="BT34" s="172">
        <v>7514.64</v>
      </c>
      <c r="BU34" s="172">
        <v>1</v>
      </c>
      <c r="BV34" s="172">
        <v>6262.2</v>
      </c>
      <c r="BW34" s="188">
        <f>VLOOKUP(B:B,[2]Sheet1!$G$1:$H$65536,2,0)</f>
        <v>3183.73</v>
      </c>
      <c r="BX34" s="188">
        <f t="shared" si="18"/>
        <v>-3078.47</v>
      </c>
      <c r="BY34" s="188">
        <f t="shared" si="19"/>
        <v>-3078.47</v>
      </c>
      <c r="BZ34" s="166">
        <f>BW34*0.08</f>
        <v>254.69839999999999</v>
      </c>
      <c r="CA34" s="174">
        <f>BX34*0.05</f>
        <v>-153.92349999999999</v>
      </c>
      <c r="CB34" s="188">
        <f t="shared" si="20"/>
        <v>364.68759999999997</v>
      </c>
      <c r="CC34" s="218">
        <f>VLOOKUP(B:B,[3]门店完成率!$A:$Y,25,0)</f>
        <v>0.72585016129032298</v>
      </c>
      <c r="CD34" s="188">
        <f>CB34*0.5+CB34*0.5*CC34</f>
        <v>314.69807664029003</v>
      </c>
      <c r="CE34" s="188">
        <f t="shared" si="32"/>
        <v>314.7</v>
      </c>
      <c r="CF34" s="188">
        <f t="shared" si="22"/>
        <v>-212.55950000000001</v>
      </c>
      <c r="CG34" s="188">
        <f t="shared" si="33"/>
        <v>-212.56</v>
      </c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</row>
    <row r="35" spans="1:241" s="154" customFormat="1" ht="12.95" customHeight="1">
      <c r="A35" s="172">
        <v>32</v>
      </c>
      <c r="B35" s="72">
        <v>101453</v>
      </c>
      <c r="C35" s="72" t="s">
        <v>77</v>
      </c>
      <c r="D35" s="172" t="s">
        <v>63</v>
      </c>
      <c r="E35" s="173">
        <v>1</v>
      </c>
      <c r="F35" s="173">
        <v>2</v>
      </c>
      <c r="G35" s="173">
        <v>3</v>
      </c>
      <c r="H35" s="173">
        <v>1</v>
      </c>
      <c r="I35" s="173">
        <v>1</v>
      </c>
      <c r="J35" s="165">
        <v>0</v>
      </c>
      <c r="K35" s="165">
        <v>0</v>
      </c>
      <c r="L35" s="165">
        <v>0</v>
      </c>
      <c r="M35" s="165">
        <v>0</v>
      </c>
      <c r="N35" s="165">
        <f t="shared" si="3"/>
        <v>-1</v>
      </c>
      <c r="O35" s="165">
        <f t="shared" si="4"/>
        <v>-1</v>
      </c>
      <c r="P35" s="165">
        <f>K35*70+L35*15+M35*40</f>
        <v>0</v>
      </c>
      <c r="Q35" s="165">
        <f>N35*15</f>
        <v>-15</v>
      </c>
      <c r="R35" s="190">
        <v>586.5</v>
      </c>
      <c r="S35" s="11">
        <v>645.15</v>
      </c>
      <c r="T35" s="11">
        <v>703.8</v>
      </c>
      <c r="U35" s="11">
        <v>1</v>
      </c>
      <c r="V35" s="190">
        <v>586.5</v>
      </c>
      <c r="W35" s="188">
        <f>VLOOKUP(B:B,[1]Sheet1!$F$1:$G$65536,2,0)</f>
        <v>917.5</v>
      </c>
      <c r="X35" s="188">
        <f t="shared" si="5"/>
        <v>331</v>
      </c>
      <c r="Y35" s="188">
        <f t="shared" si="6"/>
        <v>331</v>
      </c>
      <c r="Z35" s="188">
        <f>W35*0.07</f>
        <v>64.224999999999994</v>
      </c>
      <c r="AA35" s="190"/>
      <c r="AB35" s="173">
        <v>37</v>
      </c>
      <c r="AC35" s="198">
        <v>42</v>
      </c>
      <c r="AD35" s="198">
        <v>45</v>
      </c>
      <c r="AE35" s="178">
        <v>3</v>
      </c>
      <c r="AF35" s="199">
        <v>45</v>
      </c>
      <c r="AG35" s="206">
        <f>VLOOKUP(B:B,[1]Sheet3!$G$1:$H$65536,2,0)</f>
        <v>44</v>
      </c>
      <c r="AH35" s="206">
        <f>VLOOKUP(B:B,[1]Sheet5!$E$1:$F$65536,2,0)</f>
        <v>8</v>
      </c>
      <c r="AI35" s="206">
        <f>VLOOKUP(B:B,[1]Sheet8!$G$1:$H$65536,2,0)</f>
        <v>51</v>
      </c>
      <c r="AJ35" s="206">
        <f t="shared" si="7"/>
        <v>103</v>
      </c>
      <c r="AK35" s="196">
        <f t="shared" si="8"/>
        <v>66</v>
      </c>
      <c r="AL35" s="196">
        <f t="shared" si="9"/>
        <v>58</v>
      </c>
      <c r="AM35" s="196">
        <f>AG35*2.5+AH35*1.5+AI35*4</f>
        <v>326</v>
      </c>
      <c r="AN35" s="199"/>
      <c r="AO35" s="172">
        <v>263.25</v>
      </c>
      <c r="AP35" s="172">
        <v>289.57499999999999</v>
      </c>
      <c r="AQ35" s="172">
        <v>315.89999999999998</v>
      </c>
      <c r="AR35" s="172">
        <v>3</v>
      </c>
      <c r="AS35" s="172">
        <v>315.89999999999998</v>
      </c>
      <c r="AT35" s="188">
        <f>VLOOKUP(B:B,[1]Sheet10!$F$1:$G$65536,2,0)</f>
        <v>549.04999999999995</v>
      </c>
      <c r="AU35" s="188">
        <f>VLOOKUP(B:B,[1]Sheet12!$G$1:$H$65536,2,0)</f>
        <v>149</v>
      </c>
      <c r="AV35" s="188">
        <f t="shared" si="10"/>
        <v>698.05</v>
      </c>
      <c r="AW35" s="188">
        <f t="shared" si="11"/>
        <v>434.8</v>
      </c>
      <c r="AX35" s="188">
        <f t="shared" si="12"/>
        <v>382.15</v>
      </c>
      <c r="AY35" s="168">
        <f>AT35*0.09+AU35*0.05</f>
        <v>56.8645</v>
      </c>
      <c r="AZ35" s="172"/>
      <c r="BA35" s="190">
        <v>1200</v>
      </c>
      <c r="BB35" s="188">
        <f>VLOOKUP(B:B,[1]Sheet14!$G$1:$I$65536,3,0)</f>
        <v>5351.6800000000103</v>
      </c>
      <c r="BC35" s="188">
        <v>4.7999999999999501</v>
      </c>
      <c r="BD35" s="188">
        <f t="shared" si="13"/>
        <v>5356.4800000000096</v>
      </c>
      <c r="BE35" s="188">
        <f t="shared" si="14"/>
        <v>4156.4800000000096</v>
      </c>
      <c r="BF35" s="188">
        <f t="shared" si="15"/>
        <v>535.31200000000104</v>
      </c>
      <c r="BG35" s="172"/>
      <c r="BH35" s="172">
        <v>595.08000000000004</v>
      </c>
      <c r="BI35" s="172">
        <v>654.58799999999997</v>
      </c>
      <c r="BJ35" s="172">
        <v>714.096</v>
      </c>
      <c r="BK35" s="172">
        <v>3</v>
      </c>
      <c r="BL35" s="172">
        <v>714.096</v>
      </c>
      <c r="BM35" s="188">
        <f>VLOOKUP(B:B,[1]Sheet17!$E$1:$F$65536,2,0)</f>
        <v>1082.6400000000001</v>
      </c>
      <c r="BN35" s="188">
        <f t="shared" si="16"/>
        <v>487.56</v>
      </c>
      <c r="BO35" s="188">
        <f t="shared" si="17"/>
        <v>368.54399999999998</v>
      </c>
      <c r="BP35" s="188">
        <f>BM35*0.25</f>
        <v>270.66000000000003</v>
      </c>
      <c r="BQ35" s="172"/>
      <c r="BR35" s="172">
        <v>9393.2999999999993</v>
      </c>
      <c r="BS35" s="172">
        <v>10332.629999999999</v>
      </c>
      <c r="BT35" s="172">
        <v>11271.96</v>
      </c>
      <c r="BU35" s="172">
        <v>3</v>
      </c>
      <c r="BV35" s="172">
        <v>11271.96</v>
      </c>
      <c r="BW35" s="188">
        <f>VLOOKUP(B:B,[2]Sheet1!$G$1:$H$65536,2,0)</f>
        <v>19364.14</v>
      </c>
      <c r="BX35" s="188">
        <f t="shared" si="18"/>
        <v>9970.84</v>
      </c>
      <c r="BY35" s="188">
        <f t="shared" si="19"/>
        <v>8092.18</v>
      </c>
      <c r="BZ35" s="166">
        <f>BW35*0.12</f>
        <v>2323.6968000000002</v>
      </c>
      <c r="CA35" s="172"/>
      <c r="CB35" s="188">
        <f t="shared" si="20"/>
        <v>3576.7583</v>
      </c>
      <c r="CC35" s="218">
        <f>VLOOKUP(B:B,[3]门店完成率!$A:$Y,25,0)</f>
        <v>1.2006022580645199</v>
      </c>
      <c r="CD35" s="166">
        <f>CB35</f>
        <v>3576.7583</v>
      </c>
      <c r="CE35" s="188">
        <f t="shared" si="32"/>
        <v>3576.76</v>
      </c>
      <c r="CF35" s="188">
        <f t="shared" si="22"/>
        <v>-15</v>
      </c>
      <c r="CG35" s="188">
        <f t="shared" si="33"/>
        <v>-15</v>
      </c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</row>
    <row r="36" spans="1:241" s="153" customFormat="1" ht="12.95" customHeight="1">
      <c r="A36" s="170"/>
      <c r="B36" s="170"/>
      <c r="C36" s="170"/>
      <c r="D36" s="170" t="s">
        <v>63</v>
      </c>
      <c r="E36" s="171">
        <f>SUM(E21:E35)</f>
        <v>34</v>
      </c>
      <c r="F36" s="171">
        <f t="shared" ref="F36:AK36" si="35">SUM(F21:F35)</f>
        <v>49</v>
      </c>
      <c r="G36" s="171">
        <f t="shared" si="35"/>
        <v>64</v>
      </c>
      <c r="H36" s="171">
        <f t="shared" si="35"/>
        <v>17</v>
      </c>
      <c r="I36" s="171">
        <f t="shared" si="35"/>
        <v>36</v>
      </c>
      <c r="J36" s="171">
        <f t="shared" si="35"/>
        <v>7</v>
      </c>
      <c r="K36" s="171">
        <f t="shared" si="35"/>
        <v>3</v>
      </c>
      <c r="L36" s="171">
        <f t="shared" si="35"/>
        <v>4</v>
      </c>
      <c r="M36" s="171">
        <f t="shared" si="35"/>
        <v>0</v>
      </c>
      <c r="N36" s="171">
        <f t="shared" si="35"/>
        <v>-27</v>
      </c>
      <c r="O36" s="171">
        <f t="shared" si="35"/>
        <v>-29</v>
      </c>
      <c r="P36" s="171">
        <f t="shared" si="35"/>
        <v>290</v>
      </c>
      <c r="Q36" s="171">
        <f t="shared" si="35"/>
        <v>-405</v>
      </c>
      <c r="R36" s="171">
        <f t="shared" si="35"/>
        <v>31087.5</v>
      </c>
      <c r="S36" s="171">
        <f t="shared" si="35"/>
        <v>34196.25</v>
      </c>
      <c r="T36" s="171">
        <f t="shared" si="35"/>
        <v>37305</v>
      </c>
      <c r="U36" s="171">
        <f t="shared" si="35"/>
        <v>30</v>
      </c>
      <c r="V36" s="171">
        <f t="shared" si="35"/>
        <v>33885.5</v>
      </c>
      <c r="W36" s="171">
        <f t="shared" si="35"/>
        <v>36920.01</v>
      </c>
      <c r="X36" s="171">
        <f t="shared" si="35"/>
        <v>5832.51</v>
      </c>
      <c r="Y36" s="171">
        <f t="shared" si="35"/>
        <v>3034.51</v>
      </c>
      <c r="Z36" s="171">
        <f t="shared" si="35"/>
        <v>2920.2566000000002</v>
      </c>
      <c r="AA36" s="171">
        <f t="shared" si="35"/>
        <v>-297.24849999999998</v>
      </c>
      <c r="AB36" s="171">
        <f t="shared" si="35"/>
        <v>935</v>
      </c>
      <c r="AC36" s="171">
        <f t="shared" si="35"/>
        <v>1031</v>
      </c>
      <c r="AD36" s="171">
        <f t="shared" si="35"/>
        <v>1122</v>
      </c>
      <c r="AE36" s="171">
        <f t="shared" si="35"/>
        <v>22</v>
      </c>
      <c r="AF36" s="171">
        <f t="shared" si="35"/>
        <v>972</v>
      </c>
      <c r="AG36" s="171">
        <f t="shared" si="35"/>
        <v>488</v>
      </c>
      <c r="AH36" s="171">
        <f t="shared" si="35"/>
        <v>95</v>
      </c>
      <c r="AI36" s="171">
        <f t="shared" si="35"/>
        <v>389</v>
      </c>
      <c r="AJ36" s="171">
        <f t="shared" si="35"/>
        <v>972</v>
      </c>
      <c r="AK36" s="171">
        <f t="shared" si="35"/>
        <v>37</v>
      </c>
      <c r="AL36" s="171">
        <f t="shared" ref="AL36:BQ36" si="36">SUM(AL21:AL35)</f>
        <v>0</v>
      </c>
      <c r="AM36" s="171">
        <f t="shared" si="36"/>
        <v>1485.5</v>
      </c>
      <c r="AN36" s="171">
        <f t="shared" si="36"/>
        <v>-157</v>
      </c>
      <c r="AO36" s="171">
        <f t="shared" si="36"/>
        <v>5465.25</v>
      </c>
      <c r="AP36" s="171">
        <f t="shared" si="36"/>
        <v>6011.7749999999996</v>
      </c>
      <c r="AQ36" s="171">
        <f t="shared" si="36"/>
        <v>6558.3</v>
      </c>
      <c r="AR36" s="171">
        <f t="shared" si="36"/>
        <v>25</v>
      </c>
      <c r="AS36" s="171">
        <f t="shared" si="36"/>
        <v>5750.82</v>
      </c>
      <c r="AT36" s="171">
        <f t="shared" si="36"/>
        <v>2980.93</v>
      </c>
      <c r="AU36" s="171">
        <f t="shared" si="36"/>
        <v>3741.69</v>
      </c>
      <c r="AV36" s="171">
        <f t="shared" si="36"/>
        <v>6722.62</v>
      </c>
      <c r="AW36" s="171">
        <f t="shared" si="36"/>
        <v>1257.3699999999999</v>
      </c>
      <c r="AX36" s="171">
        <f t="shared" si="36"/>
        <v>971.8</v>
      </c>
      <c r="AY36" s="171">
        <f t="shared" si="36"/>
        <v>283.78500000000003</v>
      </c>
      <c r="AZ36" s="171">
        <f t="shared" si="36"/>
        <v>-29.864799999999999</v>
      </c>
      <c r="BA36" s="171">
        <f t="shared" si="36"/>
        <v>67522.070000000007</v>
      </c>
      <c r="BB36" s="171">
        <f t="shared" si="36"/>
        <v>73497.759999999995</v>
      </c>
      <c r="BC36" s="171">
        <f t="shared" si="36"/>
        <v>485.55</v>
      </c>
      <c r="BD36" s="171">
        <f t="shared" si="36"/>
        <v>73983.31</v>
      </c>
      <c r="BE36" s="171">
        <f t="shared" si="36"/>
        <v>6461.2400000000398</v>
      </c>
      <c r="BF36" s="171">
        <f t="shared" si="36"/>
        <v>7364.3425000000097</v>
      </c>
      <c r="BG36" s="171">
        <f t="shared" si="36"/>
        <v>-558.70739999999898</v>
      </c>
      <c r="BH36" s="171">
        <f t="shared" si="36"/>
        <v>17264.52</v>
      </c>
      <c r="BI36" s="171">
        <f t="shared" si="36"/>
        <v>18990.972000000002</v>
      </c>
      <c r="BJ36" s="171">
        <f t="shared" si="36"/>
        <v>20717.423999999999</v>
      </c>
      <c r="BK36" s="171">
        <f t="shared" si="36"/>
        <v>36</v>
      </c>
      <c r="BL36" s="171">
        <f t="shared" si="36"/>
        <v>19993.464</v>
      </c>
      <c r="BM36" s="171">
        <f t="shared" si="36"/>
        <v>19911.7</v>
      </c>
      <c r="BN36" s="171">
        <f t="shared" si="36"/>
        <v>2647.18</v>
      </c>
      <c r="BO36" s="171">
        <f t="shared" si="36"/>
        <v>-81.764000000000095</v>
      </c>
      <c r="BP36" s="171">
        <f t="shared" si="36"/>
        <v>4534.7929999999997</v>
      </c>
      <c r="BQ36" s="171">
        <f t="shared" si="36"/>
        <v>-240.90350000000001</v>
      </c>
      <c r="BR36" s="171">
        <f t="shared" ref="BR36:CG36" si="37">SUM(BR21:BR35)</f>
        <v>188224.14095999999</v>
      </c>
      <c r="BS36" s="171">
        <f t="shared" si="37"/>
        <v>207046.55505600001</v>
      </c>
      <c r="BT36" s="171">
        <f t="shared" si="37"/>
        <v>225868.96915200001</v>
      </c>
      <c r="BU36" s="171">
        <f t="shared" si="37"/>
        <v>28</v>
      </c>
      <c r="BV36" s="171">
        <f t="shared" si="37"/>
        <v>205969.96915200001</v>
      </c>
      <c r="BW36" s="171">
        <f t="shared" si="37"/>
        <v>176259.49</v>
      </c>
      <c r="BX36" s="171">
        <f t="shared" si="37"/>
        <v>-11964.650960000001</v>
      </c>
      <c r="BY36" s="171">
        <f t="shared" si="37"/>
        <v>-29710.479152</v>
      </c>
      <c r="BZ36" s="171">
        <f t="shared" si="37"/>
        <v>16722.911400000001</v>
      </c>
      <c r="CA36" s="171">
        <f t="shared" si="37"/>
        <v>-1888.221</v>
      </c>
      <c r="CB36" s="171">
        <f t="shared" si="37"/>
        <v>33601.588499999998</v>
      </c>
      <c r="CC36" s="171">
        <f t="shared" si="37"/>
        <v>13.505563085471699</v>
      </c>
      <c r="CD36" s="171">
        <f t="shared" si="37"/>
        <v>31754.234605925201</v>
      </c>
      <c r="CE36" s="171">
        <f t="shared" si="37"/>
        <v>31754.23</v>
      </c>
      <c r="CF36" s="171">
        <f t="shared" si="37"/>
        <v>-3576.9452000000001</v>
      </c>
      <c r="CG36" s="171">
        <f t="shared" si="37"/>
        <v>-3576.95</v>
      </c>
      <c r="FV36" s="160"/>
      <c r="FW36" s="160"/>
      <c r="FX36" s="160"/>
      <c r="FY36" s="160"/>
      <c r="FZ36" s="160"/>
    </row>
    <row r="37" spans="1:241" s="3" customFormat="1" ht="12.95" customHeight="1">
      <c r="A37" s="172">
        <v>33</v>
      </c>
      <c r="B37" s="172">
        <v>355</v>
      </c>
      <c r="C37" s="172" t="s">
        <v>78</v>
      </c>
      <c r="D37" s="172" t="s">
        <v>79</v>
      </c>
      <c r="E37" s="173">
        <v>4</v>
      </c>
      <c r="F37" s="173">
        <v>5</v>
      </c>
      <c r="G37" s="173">
        <v>6</v>
      </c>
      <c r="H37" s="173">
        <v>1</v>
      </c>
      <c r="I37" s="173">
        <v>4</v>
      </c>
      <c r="J37" s="165">
        <v>4</v>
      </c>
      <c r="K37" s="165">
        <f>VLOOKUP(B:B,[5]Sheet1!$I$1:$K$65536,3,0)</f>
        <v>2</v>
      </c>
      <c r="L37" s="165">
        <f>VLOOKUP(B:B,[5]Sheet1!$I$1:$M$65536,5,0)</f>
        <v>2</v>
      </c>
      <c r="M37" s="165">
        <f>VLOOKUP(B:B,[5]Sheet1!$I$1:$N$65536,6,0)</f>
        <v>0</v>
      </c>
      <c r="N37" s="165">
        <f t="shared" ref="N37:N67" si="38">J37-E37</f>
        <v>0</v>
      </c>
      <c r="O37" s="165">
        <f t="shared" ref="O37:O67" si="39">J37-I37</f>
        <v>0</v>
      </c>
      <c r="P37" s="165">
        <f>K37*90+L37*15+M37*40</f>
        <v>210</v>
      </c>
      <c r="Q37" s="165"/>
      <c r="R37" s="190">
        <v>3743</v>
      </c>
      <c r="S37" s="11">
        <v>4117.3</v>
      </c>
      <c r="T37" s="11">
        <v>4491.6000000000004</v>
      </c>
      <c r="U37" s="11">
        <v>3</v>
      </c>
      <c r="V37" s="11">
        <v>4491.6000000000004</v>
      </c>
      <c r="W37" s="188">
        <f>VLOOKUP(B:B,[1]Sheet1!$F$1:$G$65536,2,0)</f>
        <v>4495.74</v>
      </c>
      <c r="X37" s="188">
        <f t="shared" ref="X37:X67" si="40">W37-R37</f>
        <v>752.74</v>
      </c>
      <c r="Y37" s="188">
        <f t="shared" ref="Y37:Y67" si="41">W37-V37</f>
        <v>4.1399999999994197</v>
      </c>
      <c r="Z37" s="188">
        <f>W37*0.11</f>
        <v>494.53140000000002</v>
      </c>
      <c r="AA37" s="11"/>
      <c r="AB37" s="173">
        <v>113</v>
      </c>
      <c r="AC37" s="198">
        <v>124</v>
      </c>
      <c r="AD37" s="198">
        <v>136</v>
      </c>
      <c r="AE37" s="178">
        <v>3</v>
      </c>
      <c r="AF37" s="198">
        <v>136</v>
      </c>
      <c r="AG37" s="206">
        <f>VLOOKUP(B:B,[1]Sheet3!$G$1:$H$65536,2,0)</f>
        <v>54</v>
      </c>
      <c r="AH37" s="206">
        <f>VLOOKUP(B:B,[1]Sheet5!$E$1:$F$65536,2,0)</f>
        <v>18</v>
      </c>
      <c r="AI37" s="206">
        <f>VLOOKUP(B:B,[1]Sheet8!$G$1:$H$65536,2,0)</f>
        <v>80</v>
      </c>
      <c r="AJ37" s="206">
        <f t="shared" ref="AJ37:AJ67" si="42">AG37+AH37+AI37</f>
        <v>152</v>
      </c>
      <c r="AK37" s="196">
        <f t="shared" ref="AK37:AK67" si="43">AJ37-AB37</f>
        <v>39</v>
      </c>
      <c r="AL37" s="196">
        <f t="shared" ref="AL37:AL67" si="44">AJ37-AF37</f>
        <v>16</v>
      </c>
      <c r="AM37" s="196">
        <f>AG37*2.5+AH37*1.5+AI37*4</f>
        <v>482</v>
      </c>
      <c r="AN37" s="198"/>
      <c r="AO37" s="172">
        <v>657.9</v>
      </c>
      <c r="AP37" s="172">
        <v>723.69</v>
      </c>
      <c r="AQ37" s="172">
        <v>789.48</v>
      </c>
      <c r="AR37" s="172">
        <v>3</v>
      </c>
      <c r="AS37" s="172">
        <v>789.48</v>
      </c>
      <c r="AT37" s="188">
        <f>VLOOKUP(B:B,[1]Sheet10!$F$1:$G$65536,2,0)</f>
        <v>326.14</v>
      </c>
      <c r="AU37" s="188">
        <v>0</v>
      </c>
      <c r="AV37" s="188">
        <f t="shared" ref="AV37:AV67" si="45">AT37+AU37</f>
        <v>326.14</v>
      </c>
      <c r="AW37" s="188">
        <f t="shared" ref="AW37:AW67" si="46">AV37-AO37</f>
        <v>-331.76</v>
      </c>
      <c r="AX37" s="188">
        <f t="shared" ref="AX37:AX67" si="47">AV37-AS37</f>
        <v>-463.34</v>
      </c>
      <c r="AY37" s="172"/>
      <c r="AZ37" s="188">
        <f>AW37*0.04</f>
        <v>-13.2704</v>
      </c>
      <c r="BA37" s="190">
        <f>VLOOKUP(B:B,[8]查询时间段分门店销售明细!$B$1:$X$65536,23,0)</f>
        <v>4856.38</v>
      </c>
      <c r="BB37" s="188">
        <f>VLOOKUP(B:B,[1]Sheet14!$G$1:$I$65536,3,0)</f>
        <v>6449.1900000000096</v>
      </c>
      <c r="BC37" s="188">
        <v>276.17</v>
      </c>
      <c r="BD37" s="188">
        <f t="shared" ref="BD37:BD67" si="48">BB37+BC37</f>
        <v>6725.3600000000097</v>
      </c>
      <c r="BE37" s="188">
        <f t="shared" ref="BE37:BE67" si="49">BD37-BA37</f>
        <v>1868.98000000001</v>
      </c>
      <c r="BF37" s="188">
        <f t="shared" ref="BF37:BF67" si="50">BB37*0.1+BC37*0.03</f>
        <v>653.20410000000095</v>
      </c>
      <c r="BG37" s="172"/>
      <c r="BH37" s="172">
        <v>2029.68</v>
      </c>
      <c r="BI37" s="172">
        <v>2232.6480000000001</v>
      </c>
      <c r="BJ37" s="172">
        <v>2435.616</v>
      </c>
      <c r="BK37" s="172">
        <v>2</v>
      </c>
      <c r="BL37" s="172">
        <v>2232.6480000000001</v>
      </c>
      <c r="BM37" s="188">
        <f>VLOOKUP(B:B,[1]Sheet17!$E$1:$F$65536,2,0)</f>
        <v>1901.7</v>
      </c>
      <c r="BN37" s="188">
        <f t="shared" ref="BN37:BN67" si="51">BM37-BH37</f>
        <v>-127.98</v>
      </c>
      <c r="BO37" s="188">
        <f t="shared" ref="BO37:BO67" si="52">BM37-BL37</f>
        <v>-330.94799999999998</v>
      </c>
      <c r="BP37" s="188">
        <f>BM37*0.15</f>
        <v>285.255</v>
      </c>
      <c r="BQ37" s="188">
        <f>BN37*0.05</f>
        <v>-6.399</v>
      </c>
      <c r="BR37" s="172">
        <v>21113.1</v>
      </c>
      <c r="BS37" s="172">
        <v>23224.41</v>
      </c>
      <c r="BT37" s="172">
        <v>25335.72</v>
      </c>
      <c r="BU37" s="172">
        <v>3</v>
      </c>
      <c r="BV37" s="172">
        <v>25335.72</v>
      </c>
      <c r="BW37" s="188">
        <f>VLOOKUP(B:B,[2]Sheet1!$G$1:$H$65536,2,0)</f>
        <v>25531.439999999999</v>
      </c>
      <c r="BX37" s="188">
        <f t="shared" ref="BX37:BX67" si="53">BW37-BR37</f>
        <v>4418.34</v>
      </c>
      <c r="BY37" s="188">
        <f t="shared" ref="BY37:BY67" si="54">BW37-BV37</f>
        <v>195.71999999999801</v>
      </c>
      <c r="BZ37" s="166">
        <f>BW37*0.12</f>
        <v>3063.7728000000002</v>
      </c>
      <c r="CA37" s="172"/>
      <c r="CB37" s="188">
        <f t="shared" ref="CB37:CB67" si="55">P37+Z37+AM37+AY37+BF37+BP37+BZ37</f>
        <v>5188.7632999999996</v>
      </c>
      <c r="CC37" s="218">
        <f>VLOOKUP(B:B,[3]门店完成率!$A:$Y,25,0)</f>
        <v>0.84297010228166802</v>
      </c>
      <c r="CD37" s="188">
        <f>CB37*0.5+CB37*0.5*CC37</f>
        <v>4781.3678148581803</v>
      </c>
      <c r="CE37" s="188">
        <f t="shared" si="32"/>
        <v>4781.37</v>
      </c>
      <c r="CF37" s="188">
        <f t="shared" ref="CF37:CF67" si="56">Q37+AA37+AN37+AZ37+BG37+BQ37+CA37</f>
        <v>-19.6694</v>
      </c>
      <c r="CG37" s="188">
        <f t="shared" si="33"/>
        <v>-19.670000000000002</v>
      </c>
      <c r="FL37" s="26"/>
      <c r="FM37" s="26"/>
      <c r="FN37" s="26"/>
      <c r="FO37" s="26"/>
      <c r="FP37" s="26"/>
      <c r="FQ37" s="26"/>
      <c r="FR37" s="26"/>
      <c r="FS37" s="26"/>
      <c r="FT37" s="26"/>
      <c r="FU37" s="26"/>
      <c r="FV37" s="26"/>
      <c r="FW37" s="26"/>
      <c r="FX37" s="26"/>
      <c r="FY37" s="26"/>
      <c r="FZ37" s="26"/>
      <c r="GA37" s="26"/>
      <c r="GB37" s="26"/>
      <c r="GC37" s="26"/>
      <c r="GD37" s="26"/>
      <c r="GE37" s="26"/>
      <c r="GF37" s="26"/>
      <c r="GG37" s="26"/>
      <c r="GH37" s="26"/>
      <c r="GI37" s="26"/>
      <c r="GJ37" s="26"/>
      <c r="GK37" s="26"/>
      <c r="GL37" s="26"/>
      <c r="GM37" s="26"/>
      <c r="GN37" s="26"/>
      <c r="GO37" s="26"/>
      <c r="GP37" s="26"/>
      <c r="GQ37" s="26"/>
      <c r="GR37" s="26"/>
      <c r="GS37" s="26"/>
      <c r="GT37" s="26"/>
      <c r="GU37" s="26"/>
      <c r="GV37" s="26"/>
      <c r="GW37" s="26"/>
      <c r="GX37" s="26"/>
      <c r="GY37" s="26"/>
      <c r="GZ37" s="26"/>
      <c r="HA37" s="26"/>
      <c r="HB37" s="26"/>
      <c r="HC37" s="26"/>
      <c r="HD37" s="26"/>
      <c r="HE37" s="26"/>
      <c r="HF37" s="26"/>
      <c r="HG37" s="26"/>
      <c r="HH37" s="26"/>
      <c r="HI37" s="26"/>
      <c r="HJ37" s="26"/>
      <c r="HK37" s="26"/>
      <c r="HL37" s="26"/>
      <c r="HM37" s="26"/>
      <c r="HN37" s="26"/>
      <c r="HO37" s="26"/>
      <c r="HP37" s="26"/>
      <c r="HQ37" s="26"/>
      <c r="HR37" s="26"/>
      <c r="HS37" s="26"/>
      <c r="HT37" s="26"/>
      <c r="HU37" s="26"/>
      <c r="HV37" s="26"/>
      <c r="HW37" s="26"/>
      <c r="HX37" s="26"/>
      <c r="HY37" s="26"/>
      <c r="HZ37" s="26"/>
      <c r="IA37" s="26"/>
      <c r="IB37" s="26"/>
      <c r="IC37" s="26"/>
      <c r="ID37" s="26"/>
      <c r="IE37" s="26"/>
      <c r="IF37" s="26"/>
      <c r="IG37" s="26"/>
    </row>
    <row r="38" spans="1:241" s="3" customFormat="1" ht="12.95" customHeight="1">
      <c r="A38" s="172">
        <v>34</v>
      </c>
      <c r="B38" s="172">
        <v>373</v>
      </c>
      <c r="C38" s="172" t="s">
        <v>80</v>
      </c>
      <c r="D38" s="172" t="s">
        <v>79</v>
      </c>
      <c r="E38" s="173">
        <v>3</v>
      </c>
      <c r="F38" s="173">
        <v>4</v>
      </c>
      <c r="G38" s="173">
        <v>5</v>
      </c>
      <c r="H38" s="173">
        <v>1</v>
      </c>
      <c r="I38" s="173">
        <v>3</v>
      </c>
      <c r="J38" s="165">
        <v>0</v>
      </c>
      <c r="K38" s="165">
        <v>0</v>
      </c>
      <c r="L38" s="165">
        <v>0</v>
      </c>
      <c r="M38" s="165">
        <v>0</v>
      </c>
      <c r="N38" s="165">
        <f t="shared" si="38"/>
        <v>-3</v>
      </c>
      <c r="O38" s="165">
        <f t="shared" si="39"/>
        <v>-3</v>
      </c>
      <c r="P38" s="165">
        <f>K38*70+L38*15+M38*40</f>
        <v>0</v>
      </c>
      <c r="Q38" s="165">
        <f>N38*15</f>
        <v>-45</v>
      </c>
      <c r="R38" s="190">
        <v>2186</v>
      </c>
      <c r="S38" s="11">
        <v>2404.6</v>
      </c>
      <c r="T38" s="11">
        <v>2623.2</v>
      </c>
      <c r="U38" s="11">
        <v>1</v>
      </c>
      <c r="V38" s="190">
        <v>2186</v>
      </c>
      <c r="W38" s="188">
        <f>VLOOKUP(B:B,[1]Sheet1!$F$1:$G$65536,2,0)</f>
        <v>1268.3399999999999</v>
      </c>
      <c r="X38" s="188">
        <f t="shared" si="40"/>
        <v>-917.66</v>
      </c>
      <c r="Y38" s="188">
        <f t="shared" si="41"/>
        <v>-917.66</v>
      </c>
      <c r="Z38" s="190"/>
      <c r="AA38" s="197">
        <f>X38*0.05</f>
        <v>-45.883000000000003</v>
      </c>
      <c r="AB38" s="173">
        <v>140</v>
      </c>
      <c r="AC38" s="198">
        <v>154</v>
      </c>
      <c r="AD38" s="198">
        <v>168</v>
      </c>
      <c r="AE38" s="178">
        <v>1</v>
      </c>
      <c r="AF38" s="199">
        <v>140</v>
      </c>
      <c r="AG38" s="206">
        <f>VLOOKUP(B:B,[1]Sheet3!$G$1:$H$65536,2,0)</f>
        <v>60</v>
      </c>
      <c r="AH38" s="206">
        <f>VLOOKUP(B:B,[1]Sheet5!$E$1:$F$65536,2,0)</f>
        <v>15</v>
      </c>
      <c r="AI38" s="206">
        <f>VLOOKUP(B:B,[1]Sheet8!$G$1:$H$65536,2,0)</f>
        <v>55</v>
      </c>
      <c r="AJ38" s="206">
        <f t="shared" si="42"/>
        <v>130</v>
      </c>
      <c r="AK38" s="196">
        <f t="shared" si="43"/>
        <v>-10</v>
      </c>
      <c r="AL38" s="196">
        <f t="shared" si="44"/>
        <v>-10</v>
      </c>
      <c r="AM38" s="199"/>
      <c r="AN38" s="196">
        <f>AK38*1</f>
        <v>-10</v>
      </c>
      <c r="AO38" s="172">
        <v>828</v>
      </c>
      <c r="AP38" s="172">
        <v>910.8</v>
      </c>
      <c r="AQ38" s="172">
        <v>993.6</v>
      </c>
      <c r="AR38" s="172">
        <v>1</v>
      </c>
      <c r="AS38" s="172">
        <v>828</v>
      </c>
      <c r="AT38" s="188">
        <f>VLOOKUP(B:B,[1]Sheet10!$F$1:$G$65536,2,0)</f>
        <v>578.76</v>
      </c>
      <c r="AU38" s="188">
        <f>VLOOKUP(B:B,[1]Sheet12!$G$1:$H$65536,2,0)</f>
        <v>296</v>
      </c>
      <c r="AV38" s="188">
        <f t="shared" si="45"/>
        <v>874.76</v>
      </c>
      <c r="AW38" s="188">
        <f t="shared" si="46"/>
        <v>46.76</v>
      </c>
      <c r="AX38" s="188">
        <f t="shared" si="47"/>
        <v>46.76</v>
      </c>
      <c r="AY38" s="166">
        <f>AT38*0.05+AU38*0.03</f>
        <v>37.817999999999998</v>
      </c>
      <c r="AZ38" s="172"/>
      <c r="BA38" s="190">
        <f>VLOOKUP(B:B,[8]查询时间段分门店销售明细!$B$1:$X$65536,23,0)</f>
        <v>7351.3</v>
      </c>
      <c r="BB38" s="188">
        <f>VLOOKUP(B:B,[1]Sheet14!$G$1:$I$65536,3,0)</f>
        <v>4512.9700000000103</v>
      </c>
      <c r="BC38" s="188">
        <v>11.8</v>
      </c>
      <c r="BD38" s="188">
        <f t="shared" si="48"/>
        <v>4524.7700000000104</v>
      </c>
      <c r="BE38" s="188">
        <f t="shared" si="49"/>
        <v>-2826.5299999999902</v>
      </c>
      <c r="BF38" s="188">
        <f t="shared" si="50"/>
        <v>451.65100000000098</v>
      </c>
      <c r="BG38" s="210">
        <f>BE38*0.03</f>
        <v>-84.795899999999705</v>
      </c>
      <c r="BH38" s="172">
        <v>2144.16</v>
      </c>
      <c r="BI38" s="172">
        <v>2358.576</v>
      </c>
      <c r="BJ38" s="172">
        <v>2572.9920000000002</v>
      </c>
      <c r="BK38" s="172">
        <v>1</v>
      </c>
      <c r="BL38" s="172">
        <v>2144.16</v>
      </c>
      <c r="BM38" s="188">
        <f>VLOOKUP(B:B,[1]Sheet17!$E$1:$F$65536,2,0)</f>
        <v>894.5</v>
      </c>
      <c r="BN38" s="188">
        <f t="shared" si="51"/>
        <v>-1249.6600000000001</v>
      </c>
      <c r="BO38" s="188">
        <f t="shared" si="52"/>
        <v>-1249.6600000000001</v>
      </c>
      <c r="BP38" s="188">
        <f>BM38*0.15</f>
        <v>134.17500000000001</v>
      </c>
      <c r="BQ38" s="188">
        <f>BN38*0.05</f>
        <v>-62.482999999999997</v>
      </c>
      <c r="BR38" s="172">
        <v>16719.3</v>
      </c>
      <c r="BS38" s="172">
        <v>18391.23</v>
      </c>
      <c r="BT38" s="172">
        <v>20063.16</v>
      </c>
      <c r="BU38" s="172">
        <v>1</v>
      </c>
      <c r="BV38" s="172">
        <v>16719.3</v>
      </c>
      <c r="BW38" s="188">
        <f>VLOOKUP(B:B,[2]Sheet1!$G$1:$H$65536,2,0)</f>
        <v>15966.51</v>
      </c>
      <c r="BX38" s="188">
        <f t="shared" si="53"/>
        <v>-752.78999999999905</v>
      </c>
      <c r="BY38" s="188">
        <f t="shared" si="54"/>
        <v>-752.78999999999905</v>
      </c>
      <c r="BZ38" s="166">
        <f t="shared" ref="BZ38:BZ45" si="57">BW38*0.08</f>
        <v>1277.3208</v>
      </c>
      <c r="CA38" s="174">
        <f>BX38*0.05</f>
        <v>-37.639499999999998</v>
      </c>
      <c r="CB38" s="188">
        <f t="shared" si="55"/>
        <v>1900.9648</v>
      </c>
      <c r="CC38" s="218">
        <f>VLOOKUP(B:B,[3]门店完成率!$A:$Y,25,0)</f>
        <v>0.97069508797654003</v>
      </c>
      <c r="CD38" s="188">
        <f>CB38*0.5+CB38*0.5*CC38</f>
        <v>1873.1109968881501</v>
      </c>
      <c r="CE38" s="188">
        <f t="shared" si="32"/>
        <v>1873.11</v>
      </c>
      <c r="CF38" s="188">
        <f t="shared" si="56"/>
        <v>-285.8014</v>
      </c>
      <c r="CG38" s="188">
        <f t="shared" si="33"/>
        <v>-285.8</v>
      </c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  <c r="HE38" s="26"/>
      <c r="HF38" s="26"/>
      <c r="HG38" s="26"/>
      <c r="HH38" s="26"/>
      <c r="HI38" s="26"/>
      <c r="HJ38" s="26"/>
      <c r="HK38" s="26"/>
      <c r="HL38" s="26"/>
      <c r="HM38" s="26"/>
      <c r="HN38" s="26"/>
      <c r="HO38" s="26"/>
      <c r="HP38" s="26"/>
      <c r="HQ38" s="26"/>
      <c r="HR38" s="26"/>
      <c r="HS38" s="26"/>
      <c r="HT38" s="26"/>
      <c r="HU38" s="26"/>
      <c r="HV38" s="26"/>
      <c r="HW38" s="26"/>
      <c r="HX38" s="26"/>
      <c r="HY38" s="26"/>
      <c r="HZ38" s="26"/>
      <c r="IA38" s="26"/>
      <c r="IB38" s="26"/>
      <c r="IC38" s="26"/>
      <c r="ID38" s="26"/>
      <c r="IE38" s="26"/>
      <c r="IF38" s="26"/>
      <c r="IG38" s="26"/>
    </row>
    <row r="39" spans="1:241" s="3" customFormat="1" ht="12.95" customHeight="1">
      <c r="A39" s="172">
        <v>35</v>
      </c>
      <c r="B39" s="172">
        <v>511</v>
      </c>
      <c r="C39" s="172" t="s">
        <v>81</v>
      </c>
      <c r="D39" s="172" t="s">
        <v>79</v>
      </c>
      <c r="E39" s="173">
        <v>3</v>
      </c>
      <c r="F39" s="173">
        <v>4</v>
      </c>
      <c r="G39" s="173">
        <v>5</v>
      </c>
      <c r="H39" s="173">
        <v>1</v>
      </c>
      <c r="I39" s="173">
        <v>3</v>
      </c>
      <c r="J39" s="165">
        <v>0</v>
      </c>
      <c r="K39" s="165">
        <v>0</v>
      </c>
      <c r="L39" s="165">
        <v>0</v>
      </c>
      <c r="M39" s="165">
        <v>0</v>
      </c>
      <c r="N39" s="165">
        <f t="shared" si="38"/>
        <v>-3</v>
      </c>
      <c r="O39" s="165">
        <f t="shared" si="39"/>
        <v>-3</v>
      </c>
      <c r="P39" s="165">
        <f>K39*70+L39*15+M39*40</f>
        <v>0</v>
      </c>
      <c r="Q39" s="165">
        <f>N39*15</f>
        <v>-45</v>
      </c>
      <c r="R39" s="190">
        <v>1130</v>
      </c>
      <c r="S39" s="11">
        <v>1243</v>
      </c>
      <c r="T39" s="11">
        <v>1356</v>
      </c>
      <c r="U39" s="11">
        <v>1</v>
      </c>
      <c r="V39" s="190">
        <v>1130</v>
      </c>
      <c r="W39" s="188">
        <f>VLOOKUP(B:B,[1]Sheet1!$F$1:$G$65536,2,0)</f>
        <v>1166.71</v>
      </c>
      <c r="X39" s="188">
        <f t="shared" si="40"/>
        <v>36.71</v>
      </c>
      <c r="Y39" s="188">
        <f t="shared" si="41"/>
        <v>36.71</v>
      </c>
      <c r="Z39" s="188">
        <f>W39*0.07</f>
        <v>81.669700000000006</v>
      </c>
      <c r="AA39" s="190"/>
      <c r="AB39" s="173">
        <v>96</v>
      </c>
      <c r="AC39" s="198">
        <v>106</v>
      </c>
      <c r="AD39" s="198">
        <v>115</v>
      </c>
      <c r="AE39" s="178">
        <v>3</v>
      </c>
      <c r="AF39" s="199">
        <v>115</v>
      </c>
      <c r="AG39" s="206">
        <f>VLOOKUP(B:B,[1]Sheet3!$G$1:$H$65536,2,0)</f>
        <v>71</v>
      </c>
      <c r="AH39" s="206">
        <f>VLOOKUP(B:B,[1]Sheet5!$E$1:$F$65536,2,0)</f>
        <v>18</v>
      </c>
      <c r="AI39" s="206">
        <f>VLOOKUP(B:B,[1]Sheet8!$G$1:$H$65536,2,0)</f>
        <v>38</v>
      </c>
      <c r="AJ39" s="206">
        <f t="shared" si="42"/>
        <v>127</v>
      </c>
      <c r="AK39" s="196">
        <f t="shared" si="43"/>
        <v>31</v>
      </c>
      <c r="AL39" s="196">
        <f t="shared" si="44"/>
        <v>12</v>
      </c>
      <c r="AM39" s="196">
        <f>AG39*2.5+AH39*1.5+AI39*4</f>
        <v>356.5</v>
      </c>
      <c r="AN39" s="199"/>
      <c r="AO39" s="172">
        <v>518.4</v>
      </c>
      <c r="AP39" s="172">
        <v>570.24</v>
      </c>
      <c r="AQ39" s="172">
        <v>622.08000000000004</v>
      </c>
      <c r="AR39" s="172">
        <v>1</v>
      </c>
      <c r="AS39" s="172">
        <v>518.4</v>
      </c>
      <c r="AT39" s="188">
        <f>VLOOKUP(B:B,[1]Sheet10!$F$1:$G$65536,2,0)</f>
        <v>264.81</v>
      </c>
      <c r="AU39" s="188">
        <f>VLOOKUP(B:B,[1]Sheet12!$G$1:$H$65536,2,0)</f>
        <v>264.8</v>
      </c>
      <c r="AV39" s="188">
        <f t="shared" si="45"/>
        <v>529.61</v>
      </c>
      <c r="AW39" s="188">
        <f t="shared" si="46"/>
        <v>11.21</v>
      </c>
      <c r="AX39" s="188">
        <f t="shared" si="47"/>
        <v>11.21</v>
      </c>
      <c r="AY39" s="166">
        <f>AT39*0.05+AU39*0.03</f>
        <v>21.1845</v>
      </c>
      <c r="AZ39" s="172"/>
      <c r="BA39" s="190">
        <f>VLOOKUP(B:B,[8]查询时间段分门店销售明细!$B$1:$X$65536,23,0)</f>
        <v>4569.95</v>
      </c>
      <c r="BB39" s="188">
        <f>VLOOKUP(B:B,[1]Sheet14!$G$1:$I$65536,3,0)</f>
        <v>5729.53</v>
      </c>
      <c r="BC39" s="188">
        <v>13.44</v>
      </c>
      <c r="BD39" s="188">
        <f t="shared" si="48"/>
        <v>5742.97</v>
      </c>
      <c r="BE39" s="188">
        <f t="shared" si="49"/>
        <v>1173.02</v>
      </c>
      <c r="BF39" s="188">
        <f t="shared" si="50"/>
        <v>573.35619999999994</v>
      </c>
      <c r="BG39" s="172"/>
      <c r="BH39" s="172">
        <v>1460.16</v>
      </c>
      <c r="BI39" s="172">
        <v>1606.1759999999999</v>
      </c>
      <c r="BJ39" s="172">
        <v>1752.192</v>
      </c>
      <c r="BK39" s="172">
        <v>1</v>
      </c>
      <c r="BL39" s="172">
        <v>1460.16</v>
      </c>
      <c r="BM39" s="188">
        <f>VLOOKUP(B:B,[1]Sheet17!$E$1:$F$65536,2,0)</f>
        <v>581.6</v>
      </c>
      <c r="BN39" s="188">
        <f t="shared" si="51"/>
        <v>-878.56</v>
      </c>
      <c r="BO39" s="188">
        <f t="shared" si="52"/>
        <v>-878.56</v>
      </c>
      <c r="BP39" s="188">
        <f>BM39*0.15</f>
        <v>87.24</v>
      </c>
      <c r="BQ39" s="188">
        <f>BN39*0.05</f>
        <v>-43.927999999999997</v>
      </c>
      <c r="BR39" s="172">
        <v>8979.2999999999993</v>
      </c>
      <c r="BS39" s="172">
        <v>9877.23</v>
      </c>
      <c r="BT39" s="172">
        <v>10775.16</v>
      </c>
      <c r="BU39" s="172">
        <v>3</v>
      </c>
      <c r="BV39" s="172">
        <v>10775.16</v>
      </c>
      <c r="BW39" s="188">
        <f>VLOOKUP(B:B,[2]Sheet1!$G$1:$H$65536,2,0)</f>
        <v>8324.1</v>
      </c>
      <c r="BX39" s="188">
        <f t="shared" si="53"/>
        <v>-655.19999999999902</v>
      </c>
      <c r="BY39" s="188">
        <f t="shared" si="54"/>
        <v>-2451.06</v>
      </c>
      <c r="BZ39" s="166">
        <f t="shared" si="57"/>
        <v>665.928</v>
      </c>
      <c r="CA39" s="174">
        <f>BX39*0.05</f>
        <v>-32.759999999999899</v>
      </c>
      <c r="CB39" s="188">
        <f t="shared" si="55"/>
        <v>1785.8784000000001</v>
      </c>
      <c r="CC39" s="218">
        <f>VLOOKUP(B:B,[3]门店完成率!$A:$Y,25,0)</f>
        <v>0.84132057842046704</v>
      </c>
      <c r="CD39" s="188">
        <f>CB39*0.5+CB39*0.5*CC39</f>
        <v>1644.1873242383101</v>
      </c>
      <c r="CE39" s="188">
        <f t="shared" si="32"/>
        <v>1644.19</v>
      </c>
      <c r="CF39" s="188">
        <f t="shared" si="56"/>
        <v>-121.688</v>
      </c>
      <c r="CG39" s="188">
        <f t="shared" si="33"/>
        <v>-121.69</v>
      </c>
      <c r="FL39" s="26"/>
      <c r="FM39" s="26"/>
      <c r="FN39" s="26"/>
      <c r="FO39" s="26"/>
      <c r="FP39" s="26"/>
      <c r="FQ39" s="26"/>
      <c r="FR39" s="26"/>
      <c r="FS39" s="26"/>
      <c r="FT39" s="26"/>
      <c r="FU39" s="26"/>
      <c r="FV39" s="26"/>
      <c r="FW39" s="26"/>
      <c r="FX39" s="26"/>
      <c r="FY39" s="26"/>
      <c r="FZ39" s="26"/>
      <c r="GA39" s="26"/>
      <c r="GB39" s="26"/>
      <c r="GC39" s="26"/>
      <c r="GD39" s="26"/>
      <c r="GE39" s="26"/>
      <c r="GF39" s="26"/>
      <c r="GG39" s="26"/>
      <c r="GH39" s="26"/>
      <c r="GI39" s="26"/>
      <c r="GJ39" s="26"/>
      <c r="GK39" s="26"/>
      <c r="GL39" s="26"/>
      <c r="GM39" s="26"/>
      <c r="GN39" s="26"/>
      <c r="GO39" s="26"/>
      <c r="GP39" s="26"/>
      <c r="GQ39" s="26"/>
      <c r="GR39" s="26"/>
      <c r="GS39" s="26"/>
      <c r="GT39" s="26"/>
      <c r="GU39" s="26"/>
      <c r="GV39" s="26"/>
      <c r="GW39" s="26"/>
      <c r="GX39" s="26"/>
      <c r="GY39" s="26"/>
      <c r="GZ39" s="26"/>
      <c r="HA39" s="26"/>
      <c r="HB39" s="26"/>
      <c r="HC39" s="26"/>
      <c r="HD39" s="26"/>
      <c r="HE39" s="26"/>
      <c r="HF39" s="26"/>
      <c r="HG39" s="26"/>
      <c r="HH39" s="26"/>
      <c r="HI39" s="26"/>
      <c r="HJ39" s="26"/>
      <c r="HK39" s="26"/>
      <c r="HL39" s="26"/>
      <c r="HM39" s="26"/>
      <c r="HN39" s="26"/>
      <c r="HO39" s="26"/>
      <c r="HP39" s="26"/>
      <c r="HQ39" s="26"/>
      <c r="HR39" s="26"/>
      <c r="HS39" s="26"/>
      <c r="HT39" s="26"/>
      <c r="HU39" s="26"/>
      <c r="HV39" s="26"/>
      <c r="HW39" s="26"/>
      <c r="HX39" s="26"/>
      <c r="HY39" s="26"/>
      <c r="HZ39" s="26"/>
      <c r="IA39" s="26"/>
      <c r="IB39" s="26"/>
      <c r="IC39" s="26"/>
      <c r="ID39" s="26"/>
      <c r="IE39" s="26"/>
      <c r="IF39" s="26"/>
      <c r="IG39" s="26"/>
    </row>
    <row r="40" spans="1:241" s="3" customFormat="1" ht="12.95" customHeight="1">
      <c r="A40" s="172">
        <v>36</v>
      </c>
      <c r="B40" s="172">
        <v>515</v>
      </c>
      <c r="C40" s="172" t="s">
        <v>82</v>
      </c>
      <c r="D40" s="172" t="s">
        <v>79</v>
      </c>
      <c r="E40" s="173">
        <v>2</v>
      </c>
      <c r="F40" s="173">
        <v>3</v>
      </c>
      <c r="G40" s="173">
        <v>4</v>
      </c>
      <c r="H40" s="173">
        <v>1</v>
      </c>
      <c r="I40" s="173">
        <v>2</v>
      </c>
      <c r="J40" s="165">
        <v>0</v>
      </c>
      <c r="K40" s="165">
        <f>VLOOKUP(B:B,[5]Sheet1!$I$1:$K$65536,3,0)</f>
        <v>0</v>
      </c>
      <c r="L40" s="165">
        <f>VLOOKUP(B:B,[5]Sheet1!$I$1:$M$65536,5,0)</f>
        <v>0</v>
      </c>
      <c r="M40" s="165">
        <f>VLOOKUP(B:B,[5]Sheet1!$I$1:$N$65536,6,0)</f>
        <v>0</v>
      </c>
      <c r="N40" s="165">
        <f t="shared" si="38"/>
        <v>-2</v>
      </c>
      <c r="O40" s="165">
        <f t="shared" si="39"/>
        <v>-2</v>
      </c>
      <c r="P40" s="165">
        <f>K40*70+L40*15+M40*40</f>
        <v>0</v>
      </c>
      <c r="Q40" s="165">
        <f>N40*15</f>
        <v>-30</v>
      </c>
      <c r="R40" s="190">
        <v>2802</v>
      </c>
      <c r="S40" s="11">
        <v>3082.2</v>
      </c>
      <c r="T40" s="11">
        <v>3362.4</v>
      </c>
      <c r="U40" s="11">
        <v>1</v>
      </c>
      <c r="V40" s="190">
        <v>2802</v>
      </c>
      <c r="W40" s="188">
        <f>VLOOKUP(B:B,[1]Sheet1!$F$1:$G$65536,2,0)</f>
        <v>1349.42</v>
      </c>
      <c r="X40" s="188">
        <f t="shared" si="40"/>
        <v>-1452.58</v>
      </c>
      <c r="Y40" s="188">
        <f t="shared" si="41"/>
        <v>-1452.58</v>
      </c>
      <c r="Z40" s="190"/>
      <c r="AA40" s="197">
        <f>X40*0.05</f>
        <v>-72.629000000000005</v>
      </c>
      <c r="AB40" s="173">
        <v>104</v>
      </c>
      <c r="AC40" s="198">
        <v>114</v>
      </c>
      <c r="AD40" s="198">
        <v>125</v>
      </c>
      <c r="AE40" s="178">
        <v>1</v>
      </c>
      <c r="AF40" s="199">
        <v>104</v>
      </c>
      <c r="AG40" s="206">
        <f>VLOOKUP(B:B,[1]Sheet3!$G$1:$H$65536,2,0)</f>
        <v>38</v>
      </c>
      <c r="AH40" s="206">
        <f>VLOOKUP(B:B,[1]Sheet5!$E$1:$F$65536,2,0)</f>
        <v>16</v>
      </c>
      <c r="AI40" s="206">
        <f>VLOOKUP(B:B,[1]Sheet8!$G$1:$H$65536,2,0)</f>
        <v>21</v>
      </c>
      <c r="AJ40" s="206">
        <f t="shared" si="42"/>
        <v>75</v>
      </c>
      <c r="AK40" s="196">
        <f t="shared" si="43"/>
        <v>-29</v>
      </c>
      <c r="AL40" s="196">
        <f t="shared" si="44"/>
        <v>-29</v>
      </c>
      <c r="AM40" s="199"/>
      <c r="AN40" s="196">
        <f>AK40*1</f>
        <v>-29</v>
      </c>
      <c r="AO40" s="172">
        <v>641.70000000000005</v>
      </c>
      <c r="AP40" s="172">
        <v>705.87</v>
      </c>
      <c r="AQ40" s="172">
        <v>770.04</v>
      </c>
      <c r="AR40" s="172">
        <v>1</v>
      </c>
      <c r="AS40" s="172">
        <v>641.70000000000005</v>
      </c>
      <c r="AT40" s="188">
        <f>VLOOKUP(B:B,[1]Sheet10!$F$1:$G$65536,2,0)</f>
        <v>323.7</v>
      </c>
      <c r="AU40" s="188">
        <f>VLOOKUP(B:B,[1]Sheet12!$G$1:$H$65536,2,0)</f>
        <v>222</v>
      </c>
      <c r="AV40" s="188">
        <f t="shared" si="45"/>
        <v>545.70000000000005</v>
      </c>
      <c r="AW40" s="188">
        <f t="shared" si="46"/>
        <v>-96</v>
      </c>
      <c r="AX40" s="188">
        <f t="shared" si="47"/>
        <v>-96</v>
      </c>
      <c r="AY40" s="172"/>
      <c r="AZ40" s="188">
        <f>AW40*0.04</f>
        <v>-3.84</v>
      </c>
      <c r="BA40" s="190">
        <f>VLOOKUP(B:B,[6]查询时间段分门店销售明细!$B$1:$X$65536,23,0)</f>
        <v>4522.7299999999996</v>
      </c>
      <c r="BB40" s="188">
        <f>VLOOKUP(B:B,[1]Sheet14!$G$1:$I$65536,3,0)</f>
        <v>5659.4000000000196</v>
      </c>
      <c r="BC40" s="188">
        <v>58.27</v>
      </c>
      <c r="BD40" s="188">
        <f t="shared" si="48"/>
        <v>5717.6700000000201</v>
      </c>
      <c r="BE40" s="188">
        <f t="shared" si="49"/>
        <v>1194.9400000000201</v>
      </c>
      <c r="BF40" s="188">
        <f t="shared" si="50"/>
        <v>567.68810000000201</v>
      </c>
      <c r="BG40" s="172"/>
      <c r="BH40" s="172">
        <v>1733.04</v>
      </c>
      <c r="BI40" s="172">
        <v>1906.3440000000001</v>
      </c>
      <c r="BJ40" s="172">
        <v>2079.6480000000001</v>
      </c>
      <c r="BK40" s="172">
        <v>1</v>
      </c>
      <c r="BL40" s="172">
        <v>1733.04</v>
      </c>
      <c r="BM40" s="188">
        <f>VLOOKUP(B:B,[1]Sheet17!$E$1:$F$65536,2,0)</f>
        <v>1500.5</v>
      </c>
      <c r="BN40" s="188">
        <f t="shared" si="51"/>
        <v>-232.54</v>
      </c>
      <c r="BO40" s="188">
        <f t="shared" si="52"/>
        <v>-232.54</v>
      </c>
      <c r="BP40" s="188">
        <f>BM40*0.15</f>
        <v>225.07499999999999</v>
      </c>
      <c r="BQ40" s="188">
        <f>BN40*0.05</f>
        <v>-11.627000000000001</v>
      </c>
      <c r="BR40" s="172">
        <v>15984</v>
      </c>
      <c r="BS40" s="172">
        <v>17582.400000000001</v>
      </c>
      <c r="BT40" s="172">
        <v>19180.8</v>
      </c>
      <c r="BU40" s="172">
        <v>1</v>
      </c>
      <c r="BV40" s="172">
        <v>15984</v>
      </c>
      <c r="BW40" s="188">
        <f>VLOOKUP(B:B,[2]Sheet1!$G$1:$H$65536,2,0)</f>
        <v>13382.53</v>
      </c>
      <c r="BX40" s="188">
        <f t="shared" si="53"/>
        <v>-2601.4699999999998</v>
      </c>
      <c r="BY40" s="188">
        <f t="shared" si="54"/>
        <v>-2601.4699999999998</v>
      </c>
      <c r="BZ40" s="166">
        <f t="shared" si="57"/>
        <v>1070.6024</v>
      </c>
      <c r="CA40" s="174">
        <f>BX40*0.05</f>
        <v>-130.0735</v>
      </c>
      <c r="CB40" s="188">
        <f t="shared" si="55"/>
        <v>1863.3655000000001</v>
      </c>
      <c r="CC40" s="218">
        <f>VLOOKUP(B:B,[3]门店完成率!$A:$Y,25,0)</f>
        <v>0.84145792821444798</v>
      </c>
      <c r="CD40" s="188">
        <f>CB40*0.5+CB40*0.5*CC40</f>
        <v>1715.6545865681401</v>
      </c>
      <c r="CE40" s="223">
        <f>ROUND(CD40,2)-741.8</f>
        <v>973.85</v>
      </c>
      <c r="CF40" s="188">
        <f t="shared" si="56"/>
        <v>-277.16950000000003</v>
      </c>
      <c r="CG40" s="188">
        <f t="shared" si="33"/>
        <v>-277.17</v>
      </c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  <c r="HE40" s="26"/>
    </row>
    <row r="41" spans="1:241" s="3" customFormat="1" ht="12.95" customHeight="1">
      <c r="A41" s="172">
        <v>37</v>
      </c>
      <c r="B41" s="172">
        <v>572</v>
      </c>
      <c r="C41" s="172" t="s">
        <v>83</v>
      </c>
      <c r="D41" s="172" t="s">
        <v>79</v>
      </c>
      <c r="E41" s="173">
        <v>2</v>
      </c>
      <c r="F41" s="173">
        <v>3</v>
      </c>
      <c r="G41" s="173">
        <v>4</v>
      </c>
      <c r="H41" s="173">
        <v>1</v>
      </c>
      <c r="I41" s="173">
        <v>2</v>
      </c>
      <c r="J41" s="165">
        <v>4</v>
      </c>
      <c r="K41" s="165">
        <f>VLOOKUP(B:B,[5]Sheet1!$I$1:$K$65536,3,0)</f>
        <v>0</v>
      </c>
      <c r="L41" s="165">
        <f>VLOOKUP(B:B,[5]Sheet1!$I$1:$M$65536,5,0)</f>
        <v>4</v>
      </c>
      <c r="M41" s="165">
        <f>VLOOKUP(B:B,[5]Sheet1!$I$1:$N$65536,6,0)</f>
        <v>0</v>
      </c>
      <c r="N41" s="165">
        <f t="shared" si="38"/>
        <v>2</v>
      </c>
      <c r="O41" s="165">
        <f t="shared" si="39"/>
        <v>2</v>
      </c>
      <c r="P41" s="165">
        <f>K41*90+L41*15+M41*40</f>
        <v>60</v>
      </c>
      <c r="Q41" s="165"/>
      <c r="R41" s="190">
        <v>2863</v>
      </c>
      <c r="S41" s="11">
        <v>3149.3</v>
      </c>
      <c r="T41" s="11">
        <v>3435.6</v>
      </c>
      <c r="U41" s="11">
        <v>2</v>
      </c>
      <c r="V41" s="190">
        <v>3149.3</v>
      </c>
      <c r="W41" s="188">
        <f>VLOOKUP(B:B,[1]Sheet1!$F$1:$G$65536,2,0)</f>
        <v>3400.62</v>
      </c>
      <c r="X41" s="188">
        <f t="shared" si="40"/>
        <v>537.62</v>
      </c>
      <c r="Y41" s="188">
        <f t="shared" si="41"/>
        <v>251.32</v>
      </c>
      <c r="Z41" s="188">
        <f>W41*0.09</f>
        <v>306.05579999999998</v>
      </c>
      <c r="AA41" s="190"/>
      <c r="AB41" s="173">
        <v>81</v>
      </c>
      <c r="AC41" s="198">
        <v>89</v>
      </c>
      <c r="AD41" s="198">
        <v>97</v>
      </c>
      <c r="AE41" s="178">
        <v>1</v>
      </c>
      <c r="AF41" s="199">
        <v>81</v>
      </c>
      <c r="AG41" s="206">
        <f>VLOOKUP(B:B,[1]Sheet3!$G$1:$H$65536,2,0)</f>
        <v>46</v>
      </c>
      <c r="AH41" s="206">
        <f>VLOOKUP(B:B,[1]Sheet5!$E$1:$F$65536,2,0)</f>
        <v>11</v>
      </c>
      <c r="AI41" s="206">
        <f>VLOOKUP(B:B,[1]Sheet8!$G$1:$H$65536,2,0)</f>
        <v>41</v>
      </c>
      <c r="AJ41" s="206">
        <f t="shared" si="42"/>
        <v>98</v>
      </c>
      <c r="AK41" s="196">
        <f t="shared" si="43"/>
        <v>17</v>
      </c>
      <c r="AL41" s="196">
        <f t="shared" si="44"/>
        <v>17</v>
      </c>
      <c r="AM41" s="196">
        <f>AG41*1+AH41*0.5+AI41*2</f>
        <v>133.5</v>
      </c>
      <c r="AN41" s="199"/>
      <c r="AO41" s="172">
        <v>483.3</v>
      </c>
      <c r="AP41" s="172">
        <v>531.63</v>
      </c>
      <c r="AQ41" s="172">
        <v>579.96</v>
      </c>
      <c r="AR41" s="172">
        <v>1</v>
      </c>
      <c r="AS41" s="172">
        <v>483.3</v>
      </c>
      <c r="AT41" s="188">
        <f>VLOOKUP(B:B,[1]Sheet10!$F$1:$G$65536,2,0)</f>
        <v>160.35</v>
      </c>
      <c r="AU41" s="188">
        <f>VLOOKUP(B:B,[1]Sheet12!$G$1:$H$65536,2,0)</f>
        <v>61.88</v>
      </c>
      <c r="AV41" s="188">
        <f t="shared" si="45"/>
        <v>222.23</v>
      </c>
      <c r="AW41" s="188">
        <f t="shared" si="46"/>
        <v>-261.07</v>
      </c>
      <c r="AX41" s="188">
        <f t="shared" si="47"/>
        <v>-261.07</v>
      </c>
      <c r="AY41" s="172"/>
      <c r="AZ41" s="188">
        <f>AW41*0.04</f>
        <v>-10.4428</v>
      </c>
      <c r="BA41" s="190">
        <f>VLOOKUP(B:B,[8]查询时间段分门店销售明细!$B$1:$X$65536,23,0)</f>
        <v>4009.41</v>
      </c>
      <c r="BB41" s="188">
        <f>VLOOKUP(B:B,[1]Sheet14!$G$1:$I$65536,3,0)</f>
        <v>4377.8800000000101</v>
      </c>
      <c r="BC41" s="188">
        <v>130.47</v>
      </c>
      <c r="BD41" s="188">
        <f t="shared" si="48"/>
        <v>4508.3500000000104</v>
      </c>
      <c r="BE41" s="188">
        <f t="shared" si="49"/>
        <v>498.94000000001103</v>
      </c>
      <c r="BF41" s="188">
        <f t="shared" si="50"/>
        <v>441.702100000001</v>
      </c>
      <c r="BG41" s="172"/>
      <c r="BH41" s="172">
        <v>1571.76</v>
      </c>
      <c r="BI41" s="172">
        <v>1728.9359999999999</v>
      </c>
      <c r="BJ41" s="172">
        <v>1886.1120000000001</v>
      </c>
      <c r="BK41" s="172">
        <v>3</v>
      </c>
      <c r="BL41" s="172">
        <v>1886.1120000000001</v>
      </c>
      <c r="BM41" s="188">
        <f>VLOOKUP(B:B,[1]Sheet17!$E$1:$F$65536,2,0)</f>
        <v>4756.3999999999996</v>
      </c>
      <c r="BN41" s="188">
        <f t="shared" si="51"/>
        <v>3184.64</v>
      </c>
      <c r="BO41" s="188">
        <f t="shared" si="52"/>
        <v>2870.288</v>
      </c>
      <c r="BP41" s="188">
        <f>BM41*0.25</f>
        <v>1189.0999999999999</v>
      </c>
      <c r="BQ41" s="172"/>
      <c r="BR41" s="172">
        <v>14424.3</v>
      </c>
      <c r="BS41" s="172">
        <v>15866.73</v>
      </c>
      <c r="BT41" s="172">
        <v>17309.16</v>
      </c>
      <c r="BU41" s="172">
        <v>2</v>
      </c>
      <c r="BV41" s="172">
        <v>15866.73</v>
      </c>
      <c r="BW41" s="188">
        <f>VLOOKUP(B:B,[2]Sheet1!$G$1:$H$65536,2,0)</f>
        <v>14928.3</v>
      </c>
      <c r="BX41" s="188">
        <f t="shared" si="53"/>
        <v>504</v>
      </c>
      <c r="BY41" s="188">
        <f t="shared" si="54"/>
        <v>-938.43</v>
      </c>
      <c r="BZ41" s="166">
        <f t="shared" si="57"/>
        <v>1194.2639999999999</v>
      </c>
      <c r="CA41" s="174"/>
      <c r="CB41" s="188">
        <f t="shared" si="55"/>
        <v>3324.6219000000001</v>
      </c>
      <c r="CC41" s="218">
        <f>VLOOKUP(B:B,[3]门店完成率!$A:$Y,25,0)</f>
        <v>0.93802591580098404</v>
      </c>
      <c r="CD41" s="188">
        <f>CB41*0.5+CB41*0.5*CC41</f>
        <v>3221.6017012197499</v>
      </c>
      <c r="CE41" s="188">
        <f t="shared" si="32"/>
        <v>3221.6</v>
      </c>
      <c r="CF41" s="188">
        <f t="shared" si="56"/>
        <v>-10.4428</v>
      </c>
      <c r="CG41" s="188">
        <f t="shared" si="33"/>
        <v>-10.44</v>
      </c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  <c r="HE41" s="26"/>
    </row>
    <row r="42" spans="1:241" s="3" customFormat="1" ht="12" customHeight="1">
      <c r="A42" s="172">
        <v>38</v>
      </c>
      <c r="B42" s="172">
        <v>578</v>
      </c>
      <c r="C42" s="172" t="s">
        <v>84</v>
      </c>
      <c r="D42" s="172" t="s">
        <v>79</v>
      </c>
      <c r="E42" s="173">
        <v>2</v>
      </c>
      <c r="F42" s="173">
        <v>3</v>
      </c>
      <c r="G42" s="173">
        <v>4</v>
      </c>
      <c r="H42" s="173">
        <v>1</v>
      </c>
      <c r="I42" s="173">
        <v>2</v>
      </c>
      <c r="J42" s="165">
        <v>2</v>
      </c>
      <c r="K42" s="165">
        <f>VLOOKUP(B:B,[5]Sheet1!$I$1:$K$65536,3,0)</f>
        <v>0</v>
      </c>
      <c r="L42" s="165">
        <f>VLOOKUP(B:B,[5]Sheet1!$I$1:$M$65536,5,0)</f>
        <v>0</v>
      </c>
      <c r="M42" s="165">
        <f>VLOOKUP(B:B,[5]Sheet1!$I$1:$N$65536,6,0)</f>
        <v>1.32</v>
      </c>
      <c r="N42" s="165">
        <f t="shared" si="38"/>
        <v>0</v>
      </c>
      <c r="O42" s="165">
        <f t="shared" si="39"/>
        <v>0</v>
      </c>
      <c r="P42" s="165">
        <f>K42*90+L42*15+M42*40</f>
        <v>52.8</v>
      </c>
      <c r="Q42" s="165"/>
      <c r="R42" s="190">
        <v>2173</v>
      </c>
      <c r="S42" s="11">
        <v>2390.3000000000002</v>
      </c>
      <c r="T42" s="11">
        <v>2607.6</v>
      </c>
      <c r="U42" s="11">
        <v>3</v>
      </c>
      <c r="V42" s="190">
        <v>2607.6</v>
      </c>
      <c r="W42" s="188">
        <f>VLOOKUP(B:B,[1]Sheet1!$F$1:$G$65536,2,0)</f>
        <v>2825.88</v>
      </c>
      <c r="X42" s="188">
        <f t="shared" si="40"/>
        <v>652.88</v>
      </c>
      <c r="Y42" s="188">
        <f t="shared" si="41"/>
        <v>218.28</v>
      </c>
      <c r="Z42" s="188">
        <f>W42*0.11</f>
        <v>310.84679999999997</v>
      </c>
      <c r="AA42" s="190"/>
      <c r="AB42" s="173">
        <v>105</v>
      </c>
      <c r="AC42" s="198">
        <v>116</v>
      </c>
      <c r="AD42" s="198">
        <v>126</v>
      </c>
      <c r="AE42" s="178">
        <v>3</v>
      </c>
      <c r="AF42" s="199">
        <v>126</v>
      </c>
      <c r="AG42" s="206">
        <f>VLOOKUP(B:B,[1]Sheet3!$G$1:$H$65536,2,0)</f>
        <v>88</v>
      </c>
      <c r="AH42" s="206">
        <f>VLOOKUP(B:B,[1]Sheet5!$E$1:$F$65536,2,0)</f>
        <v>16</v>
      </c>
      <c r="AI42" s="206">
        <f>VLOOKUP(B:B,[1]Sheet8!$G$1:$H$65536,2,0)</f>
        <v>69</v>
      </c>
      <c r="AJ42" s="206">
        <f t="shared" si="42"/>
        <v>173</v>
      </c>
      <c r="AK42" s="196">
        <f t="shared" si="43"/>
        <v>68</v>
      </c>
      <c r="AL42" s="196">
        <f t="shared" si="44"/>
        <v>47</v>
      </c>
      <c r="AM42" s="196">
        <f>AG42*2.5+AH42*1.5+AI42*4</f>
        <v>520</v>
      </c>
      <c r="AN42" s="199"/>
      <c r="AO42" s="172">
        <v>714.6</v>
      </c>
      <c r="AP42" s="172">
        <v>786.06</v>
      </c>
      <c r="AQ42" s="172">
        <v>857.52</v>
      </c>
      <c r="AR42" s="172">
        <v>2</v>
      </c>
      <c r="AS42" s="172">
        <v>786.06</v>
      </c>
      <c r="AT42" s="188">
        <f>VLOOKUP(B:B,[1]Sheet10!$F$1:$G$65536,2,0)</f>
        <v>256.5</v>
      </c>
      <c r="AU42" s="188">
        <f>VLOOKUP(B:B,[1]Sheet12!$G$1:$H$65536,2,0)</f>
        <v>343.23</v>
      </c>
      <c r="AV42" s="188">
        <f t="shared" si="45"/>
        <v>599.73</v>
      </c>
      <c r="AW42" s="188">
        <f t="shared" si="46"/>
        <v>-114.87</v>
      </c>
      <c r="AX42" s="188">
        <f t="shared" si="47"/>
        <v>-186.33</v>
      </c>
      <c r="AY42" s="172"/>
      <c r="AZ42" s="188">
        <f>AW42*0.04</f>
        <v>-4.5948000000000002</v>
      </c>
      <c r="BA42" s="190">
        <f>VLOOKUP(B:B,[6]查询时间段分门店销售明细!$B$1:$X$65536,23,0)</f>
        <v>14103.4</v>
      </c>
      <c r="BB42" s="188">
        <f>VLOOKUP(B:B,[1]Sheet14!$G$1:$I$65536,3,0)</f>
        <v>34128.720000000001</v>
      </c>
      <c r="BC42" s="188">
        <v>38.04</v>
      </c>
      <c r="BD42" s="188">
        <f t="shared" si="48"/>
        <v>34166.76</v>
      </c>
      <c r="BE42" s="188">
        <f t="shared" si="49"/>
        <v>20063.36</v>
      </c>
      <c r="BF42" s="188">
        <f t="shared" si="50"/>
        <v>3414.0131999999999</v>
      </c>
      <c r="BG42" s="172"/>
      <c r="BH42" s="172">
        <v>1522.8</v>
      </c>
      <c r="BI42" s="172">
        <v>1675.08</v>
      </c>
      <c r="BJ42" s="172">
        <v>1827.36</v>
      </c>
      <c r="BK42" s="172">
        <v>2</v>
      </c>
      <c r="BL42" s="172">
        <v>1675.08</v>
      </c>
      <c r="BM42" s="188">
        <f>VLOOKUP(B:B,[1]Sheet17!$E$1:$F$65536,2,0)</f>
        <v>1657.72</v>
      </c>
      <c r="BN42" s="188">
        <f t="shared" si="51"/>
        <v>134.91999999999999</v>
      </c>
      <c r="BO42" s="188">
        <f t="shared" si="52"/>
        <v>-17.3599999999999</v>
      </c>
      <c r="BP42" s="188">
        <f>BM42*0.15</f>
        <v>248.65799999999999</v>
      </c>
      <c r="BQ42" s="188"/>
      <c r="BR42" s="172">
        <v>16326.9</v>
      </c>
      <c r="BS42" s="172">
        <v>17959.59</v>
      </c>
      <c r="BT42" s="172">
        <v>19592.28</v>
      </c>
      <c r="BU42" s="172">
        <v>3</v>
      </c>
      <c r="BV42" s="172">
        <v>19592.28</v>
      </c>
      <c r="BW42" s="188">
        <f>VLOOKUP(B:B,[2]Sheet1!$G$1:$H$65536,2,0)</f>
        <v>17385.72</v>
      </c>
      <c r="BX42" s="188">
        <f t="shared" si="53"/>
        <v>1058.82</v>
      </c>
      <c r="BY42" s="188">
        <f t="shared" si="54"/>
        <v>-2206.56</v>
      </c>
      <c r="BZ42" s="166">
        <f t="shared" si="57"/>
        <v>1390.8576</v>
      </c>
      <c r="CA42" s="172"/>
      <c r="CB42" s="188">
        <f t="shared" si="55"/>
        <v>5937.1755999999996</v>
      </c>
      <c r="CC42" s="218">
        <f>VLOOKUP(B:B,[3]门店完成率!$A:$Y,25,0)</f>
        <v>1.20200085125448</v>
      </c>
      <c r="CD42" s="166">
        <f>CB42</f>
        <v>5937.1755999999996</v>
      </c>
      <c r="CE42" s="188">
        <f t="shared" si="32"/>
        <v>5937.18</v>
      </c>
      <c r="CF42" s="188">
        <f t="shared" si="56"/>
        <v>-4.5948000000000002</v>
      </c>
      <c r="CG42" s="188">
        <f t="shared" si="33"/>
        <v>-4.59</v>
      </c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  <c r="HE42" s="26"/>
    </row>
    <row r="43" spans="1:241" s="3" customFormat="1" ht="12.95" customHeight="1">
      <c r="A43" s="172">
        <v>39</v>
      </c>
      <c r="B43" s="172">
        <v>723</v>
      </c>
      <c r="C43" s="172" t="s">
        <v>85</v>
      </c>
      <c r="D43" s="172" t="s">
        <v>79</v>
      </c>
      <c r="E43" s="173">
        <v>1</v>
      </c>
      <c r="F43" s="173">
        <v>2</v>
      </c>
      <c r="G43" s="173">
        <v>3</v>
      </c>
      <c r="H43" s="173">
        <v>1</v>
      </c>
      <c r="I43" s="173">
        <v>1</v>
      </c>
      <c r="J43" s="165">
        <v>0</v>
      </c>
      <c r="K43" s="165">
        <v>0</v>
      </c>
      <c r="L43" s="165">
        <v>0</v>
      </c>
      <c r="M43" s="165">
        <v>0</v>
      </c>
      <c r="N43" s="165">
        <f t="shared" si="38"/>
        <v>-1</v>
      </c>
      <c r="O43" s="165">
        <f t="shared" si="39"/>
        <v>-1</v>
      </c>
      <c r="P43" s="165">
        <f>K43*70+L43*15+M43*40</f>
        <v>0</v>
      </c>
      <c r="Q43" s="165">
        <f>N43*15</f>
        <v>-15</v>
      </c>
      <c r="R43" s="190">
        <v>1056</v>
      </c>
      <c r="S43" s="11">
        <v>1161.5999999999999</v>
      </c>
      <c r="T43" s="11">
        <v>1267.2</v>
      </c>
      <c r="U43" s="11">
        <v>1</v>
      </c>
      <c r="V43" s="190">
        <v>1056</v>
      </c>
      <c r="W43" s="188">
        <f>VLOOKUP(B:B,[1]Sheet1!$F$1:$G$65536,2,0)</f>
        <v>428.4</v>
      </c>
      <c r="X43" s="188">
        <f t="shared" si="40"/>
        <v>-627.6</v>
      </c>
      <c r="Y43" s="188">
        <f t="shared" si="41"/>
        <v>-627.6</v>
      </c>
      <c r="Z43" s="190"/>
      <c r="AA43" s="197">
        <f>X43*0.05</f>
        <v>-31.38</v>
      </c>
      <c r="AB43" s="173">
        <v>42</v>
      </c>
      <c r="AC43" s="198">
        <v>46</v>
      </c>
      <c r="AD43" s="198">
        <v>50</v>
      </c>
      <c r="AE43" s="178">
        <v>3</v>
      </c>
      <c r="AF43" s="199">
        <v>50</v>
      </c>
      <c r="AG43" s="206">
        <f>VLOOKUP(B:B,[1]Sheet3!$G$1:$H$65536,2,0)</f>
        <v>22</v>
      </c>
      <c r="AH43" s="206">
        <f>VLOOKUP(B:B,[1]Sheet5!$E$1:$F$65536,2,0)</f>
        <v>13</v>
      </c>
      <c r="AI43" s="206">
        <f>VLOOKUP(B:B,[1]Sheet8!$G$1:$H$65536,2,0)</f>
        <v>15</v>
      </c>
      <c r="AJ43" s="206">
        <f t="shared" si="42"/>
        <v>50</v>
      </c>
      <c r="AK43" s="196">
        <f t="shared" si="43"/>
        <v>8</v>
      </c>
      <c r="AL43" s="196">
        <f t="shared" si="44"/>
        <v>0</v>
      </c>
      <c r="AM43" s="196">
        <f>AG43*2.5+AH43*1.5+AI43*4</f>
        <v>134.5</v>
      </c>
      <c r="AN43" s="199"/>
      <c r="AO43" s="172">
        <v>282.60000000000002</v>
      </c>
      <c r="AP43" s="172">
        <v>310.86</v>
      </c>
      <c r="AQ43" s="172">
        <v>339.12</v>
      </c>
      <c r="AR43" s="172">
        <v>3</v>
      </c>
      <c r="AS43" s="172">
        <v>339.12</v>
      </c>
      <c r="AT43" s="188">
        <f>VLOOKUP(B:B,[1]Sheet10!$F$1:$G$65536,2,0)</f>
        <v>429.9</v>
      </c>
      <c r="AU43" s="188">
        <v>0</v>
      </c>
      <c r="AV43" s="188">
        <f t="shared" si="45"/>
        <v>429.9</v>
      </c>
      <c r="AW43" s="188">
        <f t="shared" si="46"/>
        <v>147.30000000000001</v>
      </c>
      <c r="AX43" s="188">
        <f t="shared" si="47"/>
        <v>90.78</v>
      </c>
      <c r="AY43" s="168">
        <f>AT43*0.09+AU43*0.05</f>
        <v>38.691000000000003</v>
      </c>
      <c r="AZ43" s="172"/>
      <c r="BA43" s="190">
        <f>VLOOKUP(B:B,[9]查询时间段分门店销售明细!$B$1:$X$65536,23,0)</f>
        <v>3762.27</v>
      </c>
      <c r="BB43" s="188">
        <f>VLOOKUP(B:B,[1]Sheet14!$G$1:$I$65536,3,0)</f>
        <v>2789.18</v>
      </c>
      <c r="BC43" s="188">
        <v>25.53</v>
      </c>
      <c r="BD43" s="188">
        <f t="shared" si="48"/>
        <v>2814.71</v>
      </c>
      <c r="BE43" s="188">
        <f t="shared" si="49"/>
        <v>-947.56</v>
      </c>
      <c r="BF43" s="188">
        <f t="shared" si="50"/>
        <v>279.68389999999999</v>
      </c>
      <c r="BG43" s="210">
        <f>BE43*0.03</f>
        <v>-28.4268</v>
      </c>
      <c r="BH43" s="172">
        <v>660.24</v>
      </c>
      <c r="BI43" s="172">
        <v>726.26400000000001</v>
      </c>
      <c r="BJ43" s="172">
        <v>792.28800000000001</v>
      </c>
      <c r="BK43" s="172">
        <v>1</v>
      </c>
      <c r="BL43" s="172">
        <v>660.24</v>
      </c>
      <c r="BM43" s="188">
        <f>VLOOKUP(B:B,[1]Sheet17!$E$1:$F$65536,2,0)</f>
        <v>706.7</v>
      </c>
      <c r="BN43" s="188">
        <f t="shared" si="51"/>
        <v>46.46</v>
      </c>
      <c r="BO43" s="188">
        <f t="shared" si="52"/>
        <v>46.46</v>
      </c>
      <c r="BP43" s="188">
        <f>BM43*0.15</f>
        <v>106.005</v>
      </c>
      <c r="BQ43" s="172"/>
      <c r="BR43" s="172">
        <v>6117.3</v>
      </c>
      <c r="BS43" s="172">
        <v>6729.03</v>
      </c>
      <c r="BT43" s="172">
        <v>7340.76</v>
      </c>
      <c r="BU43" s="172">
        <v>3</v>
      </c>
      <c r="BV43" s="172">
        <v>7340.76</v>
      </c>
      <c r="BW43" s="188">
        <f>VLOOKUP(B:B,[2]Sheet1!$G$1:$H$65536,2,0)</f>
        <v>7163.08</v>
      </c>
      <c r="BX43" s="188">
        <f t="shared" si="53"/>
        <v>1045.78</v>
      </c>
      <c r="BY43" s="188">
        <f t="shared" si="54"/>
        <v>-177.68</v>
      </c>
      <c r="BZ43" s="166">
        <f t="shared" si="57"/>
        <v>573.04639999999995</v>
      </c>
      <c r="CA43" s="172"/>
      <c r="CB43" s="188">
        <f t="shared" si="55"/>
        <v>1131.9263000000001</v>
      </c>
      <c r="CC43" s="218">
        <f>VLOOKUP(B:B,[3]门店完成率!$A:$Y,25,0)</f>
        <v>0.80292376910017005</v>
      </c>
      <c r="CD43" s="188">
        <f>CB43*0.5+CB43*0.5*CC43</f>
        <v>1020.3884155698</v>
      </c>
      <c r="CE43" s="188">
        <f t="shared" si="32"/>
        <v>1020.39</v>
      </c>
      <c r="CF43" s="188">
        <f t="shared" si="56"/>
        <v>-74.806799999999996</v>
      </c>
      <c r="CG43" s="188">
        <f t="shared" si="33"/>
        <v>-74.81</v>
      </c>
    </row>
    <row r="44" spans="1:241" s="3" customFormat="1" ht="12.95" customHeight="1">
      <c r="A44" s="172">
        <v>40</v>
      </c>
      <c r="B44" s="172">
        <v>718</v>
      </c>
      <c r="C44" s="172" t="s">
        <v>86</v>
      </c>
      <c r="D44" s="172" t="s">
        <v>79</v>
      </c>
      <c r="E44" s="173">
        <v>2</v>
      </c>
      <c r="F44" s="173">
        <v>3</v>
      </c>
      <c r="G44" s="173">
        <v>4</v>
      </c>
      <c r="H44" s="173">
        <v>1</v>
      </c>
      <c r="I44" s="173">
        <v>2</v>
      </c>
      <c r="J44" s="165">
        <v>0</v>
      </c>
      <c r="K44" s="165">
        <v>0</v>
      </c>
      <c r="L44" s="165">
        <v>0</v>
      </c>
      <c r="M44" s="165">
        <v>0</v>
      </c>
      <c r="N44" s="165">
        <f t="shared" si="38"/>
        <v>-2</v>
      </c>
      <c r="O44" s="165">
        <f t="shared" si="39"/>
        <v>-2</v>
      </c>
      <c r="P44" s="165">
        <f>K44*70+L44*15+M44*40</f>
        <v>0</v>
      </c>
      <c r="Q44" s="165">
        <f>N44*15</f>
        <v>-30</v>
      </c>
      <c r="R44" s="190">
        <v>1145</v>
      </c>
      <c r="S44" s="11">
        <v>1259.5</v>
      </c>
      <c r="T44" s="11">
        <v>1374</v>
      </c>
      <c r="U44" s="11">
        <v>2</v>
      </c>
      <c r="V44" s="190">
        <v>1259.5</v>
      </c>
      <c r="W44" s="188">
        <f>VLOOKUP(B:B,[1]Sheet1!$F$1:$G$65536,2,0)</f>
        <v>1589.5</v>
      </c>
      <c r="X44" s="188">
        <f t="shared" si="40"/>
        <v>444.5</v>
      </c>
      <c r="Y44" s="188">
        <f t="shared" si="41"/>
        <v>330</v>
      </c>
      <c r="Z44" s="188">
        <f>W44*0.09</f>
        <v>143.05500000000001</v>
      </c>
      <c r="AA44" s="190"/>
      <c r="AB44" s="173">
        <v>45</v>
      </c>
      <c r="AC44" s="198">
        <v>50</v>
      </c>
      <c r="AD44" s="198">
        <v>54</v>
      </c>
      <c r="AE44" s="178">
        <v>1</v>
      </c>
      <c r="AF44" s="199">
        <v>45</v>
      </c>
      <c r="AG44" s="206">
        <f>VLOOKUP(B:B,[1]Sheet3!$G$1:$H$65536,2,0)</f>
        <v>19</v>
      </c>
      <c r="AH44" s="206">
        <f>VLOOKUP(B:B,[1]Sheet5!$E$1:$F$65536,2,0)</f>
        <v>3</v>
      </c>
      <c r="AI44" s="206">
        <f>VLOOKUP(B:B,[1]Sheet8!$G$1:$H$65536,2,0)</f>
        <v>5</v>
      </c>
      <c r="AJ44" s="206">
        <f t="shared" si="42"/>
        <v>27</v>
      </c>
      <c r="AK44" s="196">
        <f t="shared" si="43"/>
        <v>-18</v>
      </c>
      <c r="AL44" s="196">
        <f t="shared" si="44"/>
        <v>-18</v>
      </c>
      <c r="AM44" s="199"/>
      <c r="AN44" s="196">
        <f>AK44*1</f>
        <v>-18</v>
      </c>
      <c r="AO44" s="172">
        <v>234.9</v>
      </c>
      <c r="AP44" s="172">
        <v>258.39</v>
      </c>
      <c r="AQ44" s="172">
        <v>281.88</v>
      </c>
      <c r="AR44" s="172">
        <v>3</v>
      </c>
      <c r="AS44" s="172">
        <v>281.88</v>
      </c>
      <c r="AT44" s="188">
        <f>VLOOKUP(B:B,[1]Sheet10!$F$1:$G$65536,2,0)</f>
        <v>224.69</v>
      </c>
      <c r="AU44" s="188">
        <f>VLOOKUP(B:B,[1]Sheet12!$G$1:$H$65536,2,0)</f>
        <v>409</v>
      </c>
      <c r="AV44" s="188">
        <f t="shared" si="45"/>
        <v>633.69000000000005</v>
      </c>
      <c r="AW44" s="188">
        <f t="shared" si="46"/>
        <v>398.79</v>
      </c>
      <c r="AX44" s="188">
        <f t="shared" si="47"/>
        <v>351.81</v>
      </c>
      <c r="AY44" s="168">
        <f>AT44*0.09+AU44*0.05</f>
        <v>40.6721</v>
      </c>
      <c r="AZ44" s="172"/>
      <c r="BA44" s="190">
        <f>VLOOKUP(B:B,[9]查询时间段分门店销售明细!$B$1:$X$65536,23,0)</f>
        <v>5234.09</v>
      </c>
      <c r="BB44" s="188">
        <f>VLOOKUP(B:B,[1]Sheet14!$G$1:$I$65536,3,0)</f>
        <v>1351.1</v>
      </c>
      <c r="BC44" s="188">
        <v>8.1199999999999992</v>
      </c>
      <c r="BD44" s="188">
        <f t="shared" si="48"/>
        <v>1359.22</v>
      </c>
      <c r="BE44" s="188">
        <f t="shared" si="49"/>
        <v>-3874.87</v>
      </c>
      <c r="BF44" s="188">
        <f t="shared" si="50"/>
        <v>135.3536</v>
      </c>
      <c r="BG44" s="210">
        <f>BE44*0.03</f>
        <v>-116.2461</v>
      </c>
      <c r="BH44" s="172">
        <v>806.4</v>
      </c>
      <c r="BI44" s="172">
        <v>887.04</v>
      </c>
      <c r="BJ44" s="172">
        <v>967.68</v>
      </c>
      <c r="BK44" s="172">
        <v>1</v>
      </c>
      <c r="BL44" s="172">
        <v>806.4</v>
      </c>
      <c r="BM44" s="188">
        <f>VLOOKUP(B:B,[1]Sheet17!$E$1:$F$65536,2,0)</f>
        <v>862.02</v>
      </c>
      <c r="BN44" s="188">
        <f t="shared" si="51"/>
        <v>55.62</v>
      </c>
      <c r="BO44" s="188">
        <f t="shared" si="52"/>
        <v>55.62</v>
      </c>
      <c r="BP44" s="188">
        <f>BM44*0.15</f>
        <v>129.303</v>
      </c>
      <c r="BQ44" s="172"/>
      <c r="BR44" s="172">
        <v>8143.2</v>
      </c>
      <c r="BS44" s="172">
        <v>8957.52</v>
      </c>
      <c r="BT44" s="172">
        <v>9771.84</v>
      </c>
      <c r="BU44" s="172">
        <v>1</v>
      </c>
      <c r="BV44" s="172">
        <v>8143.2</v>
      </c>
      <c r="BW44" s="188">
        <f>VLOOKUP(B:B,[2]Sheet1!$G$1:$H$65536,2,0)</f>
        <v>6579.9</v>
      </c>
      <c r="BX44" s="188">
        <f t="shared" si="53"/>
        <v>-1563.3</v>
      </c>
      <c r="BY44" s="188">
        <f t="shared" si="54"/>
        <v>-1563.3</v>
      </c>
      <c r="BZ44" s="166">
        <f t="shared" si="57"/>
        <v>526.39200000000005</v>
      </c>
      <c r="CA44" s="174">
        <f>BX44*0.05</f>
        <v>-78.165000000000006</v>
      </c>
      <c r="CB44" s="188">
        <f t="shared" si="55"/>
        <v>974.77570000000003</v>
      </c>
      <c r="CC44" s="218">
        <f>VLOOKUP(B:B,[3]门店完成率!$A:$Y,25,0)</f>
        <v>0.87984032258064504</v>
      </c>
      <c r="CD44" s="188">
        <f>CB44*0.5+CB44*0.5*CC44</f>
        <v>916.21133316588703</v>
      </c>
      <c r="CE44" s="188">
        <f t="shared" si="32"/>
        <v>916.21</v>
      </c>
      <c r="CF44" s="188">
        <f t="shared" si="56"/>
        <v>-242.4111</v>
      </c>
      <c r="CG44" s="188">
        <f t="shared" si="33"/>
        <v>-242.41</v>
      </c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</row>
    <row r="45" spans="1:241" s="3" customFormat="1" ht="12.95" customHeight="1">
      <c r="A45" s="172">
        <v>41</v>
      </c>
      <c r="B45" s="172">
        <v>747</v>
      </c>
      <c r="C45" s="172" t="s">
        <v>87</v>
      </c>
      <c r="D45" s="172" t="s">
        <v>79</v>
      </c>
      <c r="E45" s="173">
        <v>2</v>
      </c>
      <c r="F45" s="173">
        <v>3</v>
      </c>
      <c r="G45" s="173">
        <v>4</v>
      </c>
      <c r="H45" s="173">
        <v>1</v>
      </c>
      <c r="I45" s="173">
        <v>2</v>
      </c>
      <c r="J45" s="165">
        <v>2</v>
      </c>
      <c r="K45" s="165">
        <f>VLOOKUP(B:B,[5]Sheet1!$I$1:$K$65536,3,0)</f>
        <v>2</v>
      </c>
      <c r="L45" s="165">
        <f>VLOOKUP(B:B,[5]Sheet1!$I$1:$M$65536,5,0)</f>
        <v>0</v>
      </c>
      <c r="M45" s="165">
        <f>VLOOKUP(B:B,[5]Sheet1!$I$1:$N$65536,6,0)</f>
        <v>0</v>
      </c>
      <c r="N45" s="165">
        <f t="shared" si="38"/>
        <v>0</v>
      </c>
      <c r="O45" s="165">
        <f t="shared" si="39"/>
        <v>0</v>
      </c>
      <c r="P45" s="165">
        <f>K45*90+L45*15+M45*40</f>
        <v>180</v>
      </c>
      <c r="Q45" s="165"/>
      <c r="R45" s="190">
        <v>2082</v>
      </c>
      <c r="S45" s="11">
        <v>2290.1999999999998</v>
      </c>
      <c r="T45" s="11">
        <v>2498.4</v>
      </c>
      <c r="U45" s="11">
        <v>1</v>
      </c>
      <c r="V45" s="190">
        <v>2082</v>
      </c>
      <c r="W45" s="188">
        <f>VLOOKUP(B:B,[1]Sheet1!$F$1:$G$65536,2,0)</f>
        <v>1773.62</v>
      </c>
      <c r="X45" s="188">
        <f t="shared" si="40"/>
        <v>-308.38</v>
      </c>
      <c r="Y45" s="188">
        <f t="shared" si="41"/>
        <v>-308.38</v>
      </c>
      <c r="Z45" s="190"/>
      <c r="AA45" s="197">
        <f>X45*0.05</f>
        <v>-15.419</v>
      </c>
      <c r="AB45" s="173">
        <v>66</v>
      </c>
      <c r="AC45" s="198">
        <v>73</v>
      </c>
      <c r="AD45" s="198">
        <v>79</v>
      </c>
      <c r="AE45" s="178">
        <v>1</v>
      </c>
      <c r="AF45" s="199">
        <v>66</v>
      </c>
      <c r="AG45" s="206">
        <f>VLOOKUP(B:B,[1]Sheet3!$G$1:$H$65536,2,0)</f>
        <v>13</v>
      </c>
      <c r="AH45" s="206">
        <f>VLOOKUP(B:B,[1]Sheet5!$E$1:$F$65536,2,0)</f>
        <v>5</v>
      </c>
      <c r="AI45" s="206">
        <f>VLOOKUP(B:B,[1]Sheet8!$G$1:$H$65536,2,0)</f>
        <v>12</v>
      </c>
      <c r="AJ45" s="206">
        <f t="shared" si="42"/>
        <v>30</v>
      </c>
      <c r="AK45" s="196">
        <f t="shared" si="43"/>
        <v>-36</v>
      </c>
      <c r="AL45" s="196">
        <f t="shared" si="44"/>
        <v>-36</v>
      </c>
      <c r="AM45" s="199"/>
      <c r="AN45" s="196">
        <f>AK45*1</f>
        <v>-36</v>
      </c>
      <c r="AO45" s="172">
        <v>351</v>
      </c>
      <c r="AP45" s="172">
        <v>386.1</v>
      </c>
      <c r="AQ45" s="172">
        <v>421.2</v>
      </c>
      <c r="AR45" s="172">
        <v>3</v>
      </c>
      <c r="AS45" s="172">
        <v>421.2</v>
      </c>
      <c r="AT45" s="188">
        <f>VLOOKUP(B:B,[1]Sheet10!$F$1:$G$65536,2,0)</f>
        <v>111.3</v>
      </c>
      <c r="AU45" s="188">
        <f>VLOOKUP(B:B,[1]Sheet12!$G$1:$H$65536,2,0)</f>
        <v>449</v>
      </c>
      <c r="AV45" s="188">
        <f t="shared" si="45"/>
        <v>560.29999999999995</v>
      </c>
      <c r="AW45" s="188">
        <f t="shared" si="46"/>
        <v>209.3</v>
      </c>
      <c r="AX45" s="188">
        <f t="shared" si="47"/>
        <v>139.1</v>
      </c>
      <c r="AY45" s="168">
        <f>AT45*0.09+AU45*0.05</f>
        <v>32.466999999999999</v>
      </c>
      <c r="AZ45" s="172"/>
      <c r="BA45" s="190">
        <f>VLOOKUP(B:B,[9]查询时间段分门店销售明细!$B$1:$X$65536,23,0)</f>
        <v>1869</v>
      </c>
      <c r="BB45" s="188">
        <f>VLOOKUP(B:B,[1]Sheet14!$G$1:$I$65536,3,0)</f>
        <v>2138.8000000000002</v>
      </c>
      <c r="BC45" s="188">
        <v>322.41000000000003</v>
      </c>
      <c r="BD45" s="188">
        <f t="shared" si="48"/>
        <v>2461.21</v>
      </c>
      <c r="BE45" s="188">
        <f t="shared" si="49"/>
        <v>592.21</v>
      </c>
      <c r="BF45" s="188">
        <f t="shared" si="50"/>
        <v>223.5523</v>
      </c>
      <c r="BG45" s="172"/>
      <c r="BH45" s="172">
        <v>1439.28</v>
      </c>
      <c r="BI45" s="172">
        <v>1583.2080000000001</v>
      </c>
      <c r="BJ45" s="172">
        <v>1727.136</v>
      </c>
      <c r="BK45" s="172">
        <v>3</v>
      </c>
      <c r="BL45" s="172">
        <v>1727.136</v>
      </c>
      <c r="BM45" s="188">
        <f>VLOOKUP(B:B,[1]Sheet17!$E$1:$F$65536,2,0)</f>
        <v>1854</v>
      </c>
      <c r="BN45" s="188">
        <f t="shared" si="51"/>
        <v>414.72</v>
      </c>
      <c r="BO45" s="188">
        <f t="shared" si="52"/>
        <v>126.864</v>
      </c>
      <c r="BP45" s="188">
        <f>BM45*0.25</f>
        <v>463.5</v>
      </c>
      <c r="BQ45" s="172"/>
      <c r="BR45" s="172">
        <v>18888.3</v>
      </c>
      <c r="BS45" s="172">
        <v>20777.13</v>
      </c>
      <c r="BT45" s="172">
        <v>22665.96</v>
      </c>
      <c r="BU45" s="172">
        <v>3</v>
      </c>
      <c r="BV45" s="172">
        <v>22665.96</v>
      </c>
      <c r="BW45" s="188">
        <f>VLOOKUP(B:B,[2]Sheet1!$G$1:$H$65536,2,0)</f>
        <v>19282.419999999998</v>
      </c>
      <c r="BX45" s="188">
        <f t="shared" si="53"/>
        <v>394.11999999999898</v>
      </c>
      <c r="BY45" s="188">
        <f t="shared" si="54"/>
        <v>-3383.54</v>
      </c>
      <c r="BZ45" s="166">
        <f t="shared" si="57"/>
        <v>1542.5935999999999</v>
      </c>
      <c r="CA45" s="172"/>
      <c r="CB45" s="188">
        <f t="shared" si="55"/>
        <v>2442.1129000000001</v>
      </c>
      <c r="CC45" s="218">
        <f>VLOOKUP(B:B,[3]门店完成率!$A:$Y,25,0)</f>
        <v>0.95212713133640503</v>
      </c>
      <c r="CD45" s="188">
        <f>CB45*0.5+CB45*0.5*CC45</f>
        <v>2383.6574249383102</v>
      </c>
      <c r="CE45" s="188">
        <f t="shared" si="32"/>
        <v>2383.66</v>
      </c>
      <c r="CF45" s="188">
        <f t="shared" si="56"/>
        <v>-51.418999999999997</v>
      </c>
      <c r="CG45" s="188">
        <f t="shared" si="33"/>
        <v>-51.42</v>
      </c>
    </row>
    <row r="46" spans="1:241" s="3" customFormat="1" ht="12.95" customHeight="1">
      <c r="A46" s="172">
        <v>42</v>
      </c>
      <c r="B46" s="172">
        <v>337</v>
      </c>
      <c r="C46" s="172" t="s">
        <v>88</v>
      </c>
      <c r="D46" s="172" t="s">
        <v>79</v>
      </c>
      <c r="E46" s="173">
        <v>5</v>
      </c>
      <c r="F46" s="173">
        <v>6</v>
      </c>
      <c r="G46" s="173">
        <v>7</v>
      </c>
      <c r="H46" s="173">
        <v>3</v>
      </c>
      <c r="I46" s="173">
        <v>7</v>
      </c>
      <c r="J46" s="165">
        <v>7</v>
      </c>
      <c r="K46" s="165">
        <f>VLOOKUP(B:B,[5]Sheet1!$I$1:$K$65536,3,0)</f>
        <v>2</v>
      </c>
      <c r="L46" s="165">
        <f>VLOOKUP(B:B,[5]Sheet1!$I$1:$M$65536,5,0)</f>
        <v>2</v>
      </c>
      <c r="M46" s="165">
        <f>VLOOKUP(B:B,[5]Sheet1!$I$1:$N$65536,6,0)</f>
        <v>2</v>
      </c>
      <c r="N46" s="165">
        <f t="shared" si="38"/>
        <v>2</v>
      </c>
      <c r="O46" s="165">
        <f t="shared" si="39"/>
        <v>0</v>
      </c>
      <c r="P46" s="165">
        <f>K46*120+L46*15+M46*40</f>
        <v>350</v>
      </c>
      <c r="Q46" s="165"/>
      <c r="R46" s="190">
        <v>7930</v>
      </c>
      <c r="S46" s="11">
        <v>8723</v>
      </c>
      <c r="T46" s="11">
        <v>9516</v>
      </c>
      <c r="U46" s="11">
        <v>3</v>
      </c>
      <c r="V46" s="190">
        <v>9516</v>
      </c>
      <c r="W46" s="188">
        <f>VLOOKUP(B:B,[1]Sheet1!$F$1:$G$65536,2,0)</f>
        <v>11287.99</v>
      </c>
      <c r="X46" s="188">
        <f t="shared" si="40"/>
        <v>3357.99</v>
      </c>
      <c r="Y46" s="188">
        <f t="shared" si="41"/>
        <v>1771.99</v>
      </c>
      <c r="Z46" s="188">
        <f>W46*0.11</f>
        <v>1241.6789000000001</v>
      </c>
      <c r="AA46" s="190"/>
      <c r="AB46" s="173">
        <v>398</v>
      </c>
      <c r="AC46" s="198">
        <v>438</v>
      </c>
      <c r="AD46" s="198">
        <v>478</v>
      </c>
      <c r="AE46" s="178">
        <v>3</v>
      </c>
      <c r="AF46" s="199">
        <v>478</v>
      </c>
      <c r="AG46" s="206">
        <f>VLOOKUP(B:B,[1]Sheet3!$G$1:$H$65536,2,0)</f>
        <v>216</v>
      </c>
      <c r="AH46" s="206">
        <f>VLOOKUP(B:B,[1]Sheet5!$E$1:$F$65536,2,0)</f>
        <v>32</v>
      </c>
      <c r="AI46" s="206">
        <f>VLOOKUP(B:B,[1]Sheet8!$G$1:$H$65536,2,0)</f>
        <v>554</v>
      </c>
      <c r="AJ46" s="206">
        <f t="shared" si="42"/>
        <v>802</v>
      </c>
      <c r="AK46" s="196">
        <f t="shared" si="43"/>
        <v>404</v>
      </c>
      <c r="AL46" s="196">
        <f t="shared" si="44"/>
        <v>324</v>
      </c>
      <c r="AM46" s="196">
        <f>AG46*2.5+AH46*1.5+AI46*4</f>
        <v>2804</v>
      </c>
      <c r="AN46" s="199"/>
      <c r="AO46" s="172">
        <v>1757.7</v>
      </c>
      <c r="AP46" s="172">
        <v>1933.47</v>
      </c>
      <c r="AQ46" s="172">
        <v>2109.2399999999998</v>
      </c>
      <c r="AR46" s="172">
        <v>1</v>
      </c>
      <c r="AS46" s="172">
        <v>1757.7</v>
      </c>
      <c r="AT46" s="188">
        <f>VLOOKUP(B:B,[1]Sheet10!$F$1:$G$65536,2,0)</f>
        <v>263.89</v>
      </c>
      <c r="AU46" s="188">
        <f>VLOOKUP(B:B,[1]Sheet12!$G$1:$H$65536,2,0)</f>
        <v>403.8</v>
      </c>
      <c r="AV46" s="188">
        <f t="shared" si="45"/>
        <v>667.69</v>
      </c>
      <c r="AW46" s="188">
        <f t="shared" si="46"/>
        <v>-1090.01</v>
      </c>
      <c r="AX46" s="188">
        <f t="shared" si="47"/>
        <v>-1090.01</v>
      </c>
      <c r="AY46" s="172"/>
      <c r="AZ46" s="188">
        <f>AW46*0.04</f>
        <v>-43.6004</v>
      </c>
      <c r="BA46" s="190">
        <f>VLOOKUP(B:B,[8]查询时间段分门店销售明细!$B$1:$X$65536,23,0)</f>
        <v>22023.86</v>
      </c>
      <c r="BB46" s="188">
        <f>VLOOKUP(B:B,[1]Sheet14!$G$1:$I$65536,3,0)</f>
        <v>11872.51</v>
      </c>
      <c r="BC46" s="188">
        <v>133.97</v>
      </c>
      <c r="BD46" s="188">
        <f t="shared" si="48"/>
        <v>12006.48</v>
      </c>
      <c r="BE46" s="188">
        <f t="shared" si="49"/>
        <v>-10017.379999999999</v>
      </c>
      <c r="BF46" s="188">
        <f t="shared" si="50"/>
        <v>1191.2701</v>
      </c>
      <c r="BG46" s="210">
        <f>BE46*0.03</f>
        <v>-300.52140000000003</v>
      </c>
      <c r="BH46" s="172">
        <v>6292.08</v>
      </c>
      <c r="BI46" s="172">
        <v>6921.2879999999996</v>
      </c>
      <c r="BJ46" s="172">
        <v>7550.4960000000001</v>
      </c>
      <c r="BK46" s="172">
        <v>3</v>
      </c>
      <c r="BL46" s="172">
        <v>7550.5</v>
      </c>
      <c r="BM46" s="188">
        <f>VLOOKUP(B:B,[1]Sheet17!$E$1:$F$65536,2,0)</f>
        <v>12888.93</v>
      </c>
      <c r="BN46" s="188">
        <f t="shared" si="51"/>
        <v>6596.85</v>
      </c>
      <c r="BO46" s="188">
        <f t="shared" si="52"/>
        <v>5338.43</v>
      </c>
      <c r="BP46" s="188">
        <f>BM46*0.25</f>
        <v>3222.2325000000001</v>
      </c>
      <c r="BQ46" s="172"/>
      <c r="BR46" s="172">
        <v>52536.6</v>
      </c>
      <c r="BS46" s="172">
        <v>57790.26</v>
      </c>
      <c r="BT46" s="172">
        <v>63043.92</v>
      </c>
      <c r="BU46" s="172">
        <v>3</v>
      </c>
      <c r="BV46" s="172">
        <v>63043.92</v>
      </c>
      <c r="BW46" s="188">
        <f>VLOOKUP(B:B,[2]Sheet1!$G$1:$H$65536,2,0)</f>
        <v>66209.98</v>
      </c>
      <c r="BX46" s="188">
        <f t="shared" si="53"/>
        <v>13673.38</v>
      </c>
      <c r="BY46" s="188">
        <f t="shared" si="54"/>
        <v>3166.06</v>
      </c>
      <c r="BZ46" s="166">
        <f>BW46*0.12</f>
        <v>7945.1976000000004</v>
      </c>
      <c r="CA46" s="172"/>
      <c r="CB46" s="188">
        <f t="shared" si="55"/>
        <v>16754.379099999998</v>
      </c>
      <c r="CC46" s="218">
        <f>VLOOKUP(B:B,[3]门店完成率!$A:$Y,25,0)</f>
        <v>1.03688904516129</v>
      </c>
      <c r="CD46" s="166">
        <f>CB46</f>
        <v>16754.379099999998</v>
      </c>
      <c r="CE46" s="188">
        <f t="shared" si="32"/>
        <v>16754.38</v>
      </c>
      <c r="CF46" s="188">
        <f t="shared" si="56"/>
        <v>-344.12180000000001</v>
      </c>
      <c r="CG46" s="188">
        <f t="shared" si="33"/>
        <v>-344.12</v>
      </c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  <c r="HE46" s="26"/>
      <c r="HF46" s="26"/>
      <c r="HG46" s="26"/>
      <c r="HH46" s="26"/>
      <c r="HI46" s="26"/>
      <c r="HJ46" s="26"/>
      <c r="HK46" s="26"/>
      <c r="HL46" s="26"/>
      <c r="HM46" s="26"/>
      <c r="HN46" s="26"/>
      <c r="HO46" s="26"/>
      <c r="HP46" s="26"/>
      <c r="HQ46" s="26"/>
      <c r="HR46" s="26"/>
      <c r="HS46" s="26"/>
      <c r="HT46" s="26"/>
      <c r="HU46" s="26"/>
      <c r="HV46" s="26"/>
      <c r="HW46" s="26"/>
      <c r="HX46" s="26"/>
      <c r="HY46" s="26"/>
      <c r="HZ46" s="26"/>
      <c r="IA46" s="26"/>
      <c r="IB46" s="26"/>
      <c r="IC46" s="26"/>
      <c r="ID46" s="26"/>
      <c r="IE46" s="26"/>
      <c r="IF46" s="26"/>
      <c r="IG46" s="26"/>
    </row>
    <row r="47" spans="1:241" s="3" customFormat="1" ht="12.95" customHeight="1">
      <c r="A47" s="172">
        <v>43</v>
      </c>
      <c r="B47" s="172">
        <v>308</v>
      </c>
      <c r="C47" s="172" t="s">
        <v>89</v>
      </c>
      <c r="D47" s="172" t="s">
        <v>79</v>
      </c>
      <c r="E47" s="173">
        <v>3</v>
      </c>
      <c r="F47" s="173">
        <v>4</v>
      </c>
      <c r="G47" s="173">
        <v>5</v>
      </c>
      <c r="H47" s="173">
        <v>1</v>
      </c>
      <c r="I47" s="173">
        <v>3</v>
      </c>
      <c r="J47" s="165">
        <v>3</v>
      </c>
      <c r="K47" s="165">
        <f>VLOOKUP(B:B,[5]Sheet1!$I$1:$K$65536,3,0)</f>
        <v>1</v>
      </c>
      <c r="L47" s="165">
        <f>VLOOKUP(B:B,[5]Sheet1!$I$1:$M$65536,5,0)</f>
        <v>2</v>
      </c>
      <c r="M47" s="165">
        <f>VLOOKUP(B:B,[5]Sheet1!$I$1:$N$65536,6,0)</f>
        <v>0</v>
      </c>
      <c r="N47" s="165">
        <f t="shared" si="38"/>
        <v>0</v>
      </c>
      <c r="O47" s="165">
        <f t="shared" si="39"/>
        <v>0</v>
      </c>
      <c r="P47" s="165">
        <f>K47*90+L47*15+M47*40</f>
        <v>120</v>
      </c>
      <c r="Q47" s="165"/>
      <c r="R47" s="190">
        <v>2993</v>
      </c>
      <c r="S47" s="11">
        <v>3292.3</v>
      </c>
      <c r="T47" s="11">
        <v>3591.6</v>
      </c>
      <c r="U47" s="11">
        <v>1</v>
      </c>
      <c r="V47" s="190">
        <v>2993</v>
      </c>
      <c r="W47" s="188">
        <f>VLOOKUP(B:B,[1]Sheet1!$F$1:$G$65536,2,0)</f>
        <v>4111.3100000000004</v>
      </c>
      <c r="X47" s="188">
        <f t="shared" si="40"/>
        <v>1118.31</v>
      </c>
      <c r="Y47" s="188">
        <f t="shared" si="41"/>
        <v>1118.31</v>
      </c>
      <c r="Z47" s="188">
        <f>W47*0.07</f>
        <v>287.79169999999999</v>
      </c>
      <c r="AA47" s="190"/>
      <c r="AB47" s="173">
        <v>95</v>
      </c>
      <c r="AC47" s="198">
        <v>105</v>
      </c>
      <c r="AD47" s="198">
        <v>114</v>
      </c>
      <c r="AE47" s="178">
        <v>1</v>
      </c>
      <c r="AF47" s="199">
        <v>95</v>
      </c>
      <c r="AG47" s="206">
        <f>VLOOKUP(B:B,[1]Sheet3!$G$1:$H$65536,2,0)</f>
        <v>71</v>
      </c>
      <c r="AH47" s="206">
        <f>VLOOKUP(B:B,[1]Sheet5!$E$1:$F$65536,2,0)</f>
        <v>16</v>
      </c>
      <c r="AI47" s="206">
        <f>VLOOKUP(B:B,[1]Sheet8!$G$1:$H$65536,2,0)</f>
        <v>8</v>
      </c>
      <c r="AJ47" s="206">
        <f t="shared" si="42"/>
        <v>95</v>
      </c>
      <c r="AK47" s="196">
        <f t="shared" si="43"/>
        <v>0</v>
      </c>
      <c r="AL47" s="196">
        <f t="shared" si="44"/>
        <v>0</v>
      </c>
      <c r="AM47" s="196">
        <f>AG47*1+AH47*0.5+AI47*2</f>
        <v>95</v>
      </c>
      <c r="AN47" s="199"/>
      <c r="AO47" s="172">
        <v>472.5</v>
      </c>
      <c r="AP47" s="172">
        <v>519.75</v>
      </c>
      <c r="AQ47" s="172">
        <v>567</v>
      </c>
      <c r="AR47" s="172">
        <v>1</v>
      </c>
      <c r="AS47" s="172">
        <v>472.5</v>
      </c>
      <c r="AT47" s="188">
        <f>VLOOKUP(B:B,[1]Sheet10!$F$1:$G$65536,2,0)</f>
        <v>385.6</v>
      </c>
      <c r="AU47" s="188">
        <f>VLOOKUP(B:B,[1]Sheet12!$G$1:$H$65536,2,0)</f>
        <v>338</v>
      </c>
      <c r="AV47" s="188">
        <f t="shared" si="45"/>
        <v>723.6</v>
      </c>
      <c r="AW47" s="188">
        <f t="shared" si="46"/>
        <v>251.1</v>
      </c>
      <c r="AX47" s="188">
        <f t="shared" si="47"/>
        <v>251.1</v>
      </c>
      <c r="AY47" s="166">
        <f>AT47*0.05+AU47*0.03</f>
        <v>29.42</v>
      </c>
      <c r="AZ47" s="172"/>
      <c r="BA47" s="190">
        <f>VLOOKUP(B:B,[9]查询时间段分门店销售明细!$B$1:$X$65536,23,0)</f>
        <v>5259.81</v>
      </c>
      <c r="BB47" s="188">
        <f>VLOOKUP(B:B,[1]Sheet14!$G$1:$I$65536,3,0)</f>
        <v>9979.67</v>
      </c>
      <c r="BC47" s="188">
        <v>84.92</v>
      </c>
      <c r="BD47" s="188">
        <f t="shared" si="48"/>
        <v>10064.59</v>
      </c>
      <c r="BE47" s="188">
        <f t="shared" si="49"/>
        <v>4804.78</v>
      </c>
      <c r="BF47" s="188">
        <f t="shared" si="50"/>
        <v>1000.5146</v>
      </c>
      <c r="BG47" s="172"/>
      <c r="BH47" s="172">
        <v>1800.72</v>
      </c>
      <c r="BI47" s="172">
        <v>1980.7919999999999</v>
      </c>
      <c r="BJ47" s="172">
        <v>2160.864</v>
      </c>
      <c r="BK47" s="172">
        <v>1</v>
      </c>
      <c r="BL47" s="172">
        <v>1800.72</v>
      </c>
      <c r="BM47" s="188">
        <f>VLOOKUP(B:B,[1]Sheet17!$E$1:$F$65536,2,0)</f>
        <v>1271.92</v>
      </c>
      <c r="BN47" s="188">
        <f t="shared" si="51"/>
        <v>-528.79999999999995</v>
      </c>
      <c r="BO47" s="188">
        <f t="shared" si="52"/>
        <v>-528.79999999999995</v>
      </c>
      <c r="BP47" s="188">
        <f>BM47*0.15</f>
        <v>190.78800000000001</v>
      </c>
      <c r="BQ47" s="188">
        <f>BN47*0.05</f>
        <v>-26.44</v>
      </c>
      <c r="BR47" s="172">
        <v>14518.8</v>
      </c>
      <c r="BS47" s="172">
        <v>15970.68</v>
      </c>
      <c r="BT47" s="172">
        <v>17422.560000000001</v>
      </c>
      <c r="BU47" s="172">
        <v>2</v>
      </c>
      <c r="BV47" s="172">
        <v>15970.68</v>
      </c>
      <c r="BW47" s="188">
        <f>VLOOKUP(B:B,[2]Sheet1!$G$1:$H$65536,2,0)</f>
        <v>12299.47</v>
      </c>
      <c r="BX47" s="188">
        <f t="shared" si="53"/>
        <v>-2219.33</v>
      </c>
      <c r="BY47" s="188">
        <f t="shared" si="54"/>
        <v>-3671.21</v>
      </c>
      <c r="BZ47" s="166">
        <f>BW47*0.08</f>
        <v>983.95759999999996</v>
      </c>
      <c r="CA47" s="174">
        <f>BX47*0.05</f>
        <v>-110.9665</v>
      </c>
      <c r="CB47" s="188">
        <f t="shared" si="55"/>
        <v>2707.4719</v>
      </c>
      <c r="CC47" s="218">
        <f>VLOOKUP(B:B,[3]门店完成率!$A:$Y,25,0)</f>
        <v>0.79841766862170105</v>
      </c>
      <c r="CD47" s="188">
        <f>CB47*0.5+CB47*0.5*CC47</f>
        <v>2434.5826511283799</v>
      </c>
      <c r="CE47" s="188">
        <f t="shared" si="32"/>
        <v>2434.58</v>
      </c>
      <c r="CF47" s="188">
        <f t="shared" si="56"/>
        <v>-137.40649999999999</v>
      </c>
      <c r="CG47" s="188">
        <f t="shared" si="33"/>
        <v>-137.41</v>
      </c>
      <c r="FL47" s="26"/>
      <c r="FM47" s="26"/>
      <c r="FN47" s="26"/>
      <c r="FO47" s="26"/>
      <c r="FP47" s="26"/>
      <c r="FQ47" s="26"/>
      <c r="FR47" s="26"/>
      <c r="FS47" s="26"/>
      <c r="FT47" s="26"/>
      <c r="FU47" s="26"/>
      <c r="FV47" s="26"/>
      <c r="FW47" s="26"/>
      <c r="FX47" s="26"/>
      <c r="FY47" s="26"/>
      <c r="FZ47" s="26"/>
      <c r="GA47" s="26"/>
      <c r="GB47" s="26"/>
      <c r="GC47" s="26"/>
      <c r="GD47" s="26"/>
      <c r="GE47" s="26"/>
      <c r="GF47" s="26"/>
      <c r="GG47" s="26"/>
      <c r="GH47" s="26"/>
      <c r="GI47" s="26"/>
      <c r="GJ47" s="26"/>
      <c r="GK47" s="26"/>
      <c r="GL47" s="26"/>
      <c r="GM47" s="26"/>
      <c r="GN47" s="26"/>
      <c r="GO47" s="26"/>
      <c r="GP47" s="26"/>
      <c r="GQ47" s="26"/>
      <c r="GR47" s="26"/>
      <c r="GS47" s="26"/>
      <c r="GT47" s="26"/>
      <c r="GU47" s="26"/>
      <c r="GV47" s="26"/>
      <c r="GW47" s="26"/>
      <c r="GX47" s="26"/>
      <c r="GY47" s="26"/>
      <c r="GZ47" s="26"/>
      <c r="HA47" s="26"/>
      <c r="HB47" s="26"/>
      <c r="HC47" s="26"/>
      <c r="HD47" s="26"/>
      <c r="HE47" s="26"/>
      <c r="HF47" s="26"/>
      <c r="HG47" s="26"/>
      <c r="HH47" s="26"/>
      <c r="HI47" s="26"/>
      <c r="HJ47" s="26"/>
      <c r="HK47" s="26"/>
      <c r="HL47" s="26"/>
      <c r="HM47" s="26"/>
      <c r="HN47" s="26"/>
      <c r="HO47" s="26"/>
      <c r="HP47" s="26"/>
      <c r="HQ47" s="26"/>
      <c r="HR47" s="26"/>
      <c r="HS47" s="26"/>
      <c r="HT47" s="26"/>
      <c r="HU47" s="26"/>
      <c r="HV47" s="26"/>
      <c r="HW47" s="26"/>
      <c r="HX47" s="26"/>
      <c r="HY47" s="26"/>
      <c r="HZ47" s="26"/>
      <c r="IA47" s="26"/>
      <c r="IB47" s="26"/>
      <c r="IC47" s="26"/>
      <c r="ID47" s="26"/>
      <c r="IE47" s="26"/>
      <c r="IF47" s="26"/>
      <c r="IG47" s="26"/>
    </row>
    <row r="48" spans="1:241" s="3" customFormat="1" ht="12.95" customHeight="1">
      <c r="A48" s="172">
        <v>44</v>
      </c>
      <c r="B48" s="172">
        <v>349</v>
      </c>
      <c r="C48" s="172" t="s">
        <v>90</v>
      </c>
      <c r="D48" s="172" t="s">
        <v>79</v>
      </c>
      <c r="E48" s="173">
        <v>2</v>
      </c>
      <c r="F48" s="173">
        <v>3</v>
      </c>
      <c r="G48" s="173">
        <v>4</v>
      </c>
      <c r="H48" s="173">
        <v>1</v>
      </c>
      <c r="I48" s="173">
        <v>2</v>
      </c>
      <c r="J48" s="165">
        <v>6</v>
      </c>
      <c r="K48" s="165">
        <f>VLOOKUP(B:B,[5]Sheet1!$I$1:$K$65536,3,0)</f>
        <v>0</v>
      </c>
      <c r="L48" s="165">
        <f>VLOOKUP(B:B,[5]Sheet1!$I$1:$M$65536,5,0)</f>
        <v>0</v>
      </c>
      <c r="M48" s="165">
        <f>VLOOKUP(B:B,[5]Sheet1!$I$1:$N$65536,6,0)</f>
        <v>4</v>
      </c>
      <c r="N48" s="165">
        <f t="shared" si="38"/>
        <v>4</v>
      </c>
      <c r="O48" s="165">
        <f t="shared" si="39"/>
        <v>4</v>
      </c>
      <c r="P48" s="165">
        <f>K48*90+L48*15+M48*40</f>
        <v>160</v>
      </c>
      <c r="Q48" s="165"/>
      <c r="R48" s="190">
        <v>2010</v>
      </c>
      <c r="S48" s="11">
        <v>2211</v>
      </c>
      <c r="T48" s="11">
        <v>2412</v>
      </c>
      <c r="U48" s="11">
        <v>3</v>
      </c>
      <c r="V48" s="190">
        <v>2412</v>
      </c>
      <c r="W48" s="188">
        <f>VLOOKUP(B:B,[1]Sheet1!$F$1:$G$65536,2,0)</f>
        <v>2437.3000000000002</v>
      </c>
      <c r="X48" s="188">
        <f t="shared" si="40"/>
        <v>427.3</v>
      </c>
      <c r="Y48" s="188">
        <f t="shared" si="41"/>
        <v>25.3000000000002</v>
      </c>
      <c r="Z48" s="188">
        <f>W48*0.11</f>
        <v>268.10300000000001</v>
      </c>
      <c r="AA48" s="190"/>
      <c r="AB48" s="173">
        <v>148</v>
      </c>
      <c r="AC48" s="198">
        <v>163</v>
      </c>
      <c r="AD48" s="198">
        <v>178</v>
      </c>
      <c r="AE48" s="178">
        <v>3</v>
      </c>
      <c r="AF48" s="199">
        <v>178</v>
      </c>
      <c r="AG48" s="206">
        <f>VLOOKUP(B:B,[1]Sheet3!$G$1:$H$65536,2,0)</f>
        <v>100</v>
      </c>
      <c r="AH48" s="206">
        <f>VLOOKUP(B:B,[1]Sheet5!$E$1:$F$65536,2,0)</f>
        <v>36</v>
      </c>
      <c r="AI48" s="206">
        <f>VLOOKUP(B:B,[1]Sheet8!$G$1:$H$65536,2,0)</f>
        <v>328</v>
      </c>
      <c r="AJ48" s="206">
        <f t="shared" si="42"/>
        <v>464</v>
      </c>
      <c r="AK48" s="196">
        <f t="shared" si="43"/>
        <v>316</v>
      </c>
      <c r="AL48" s="196">
        <f t="shared" si="44"/>
        <v>286</v>
      </c>
      <c r="AM48" s="196">
        <f>AG48*2.5+AH48*1.5+AI48*4</f>
        <v>1616</v>
      </c>
      <c r="AN48" s="199"/>
      <c r="AO48" s="172">
        <v>502.2</v>
      </c>
      <c r="AP48" s="172">
        <v>552.41999999999996</v>
      </c>
      <c r="AQ48" s="172">
        <v>602.64</v>
      </c>
      <c r="AR48" s="172">
        <v>3</v>
      </c>
      <c r="AS48" s="172">
        <v>602.64</v>
      </c>
      <c r="AT48" s="188">
        <f>VLOOKUP(B:B,[1]Sheet10!$F$1:$G$65536,2,0)</f>
        <v>970.29999999999905</v>
      </c>
      <c r="AU48" s="188">
        <f>VLOOKUP(B:B,[1]Sheet12!$G$1:$H$65536,2,0)</f>
        <v>335</v>
      </c>
      <c r="AV48" s="188">
        <f t="shared" si="45"/>
        <v>1305.3</v>
      </c>
      <c r="AW48" s="188">
        <f t="shared" si="46"/>
        <v>803.099999999999</v>
      </c>
      <c r="AX48" s="188">
        <f t="shared" si="47"/>
        <v>702.65999999999894</v>
      </c>
      <c r="AY48" s="168">
        <f>AT48*0.09+AU48*0.05</f>
        <v>104.077</v>
      </c>
      <c r="AZ48" s="172"/>
      <c r="BA48" s="190">
        <f>VLOOKUP(B:B,[8]查询时间段分门店销售明细!$B$1:$X$65536,23,0)</f>
        <v>4154.5200000000004</v>
      </c>
      <c r="BB48" s="188">
        <f>VLOOKUP(B:B,[1]Sheet14!$G$1:$I$65536,3,0)</f>
        <v>4318.8900000000103</v>
      </c>
      <c r="BC48" s="188">
        <v>9.48</v>
      </c>
      <c r="BD48" s="188">
        <f t="shared" si="48"/>
        <v>4328.3700000000099</v>
      </c>
      <c r="BE48" s="188">
        <f t="shared" si="49"/>
        <v>173.850000000009</v>
      </c>
      <c r="BF48" s="188">
        <f t="shared" si="50"/>
        <v>432.17340000000098</v>
      </c>
      <c r="BG48" s="172"/>
      <c r="BH48" s="172">
        <v>1625.04</v>
      </c>
      <c r="BI48" s="172">
        <v>1787.5440000000001</v>
      </c>
      <c r="BJ48" s="172">
        <v>1950.048</v>
      </c>
      <c r="BK48" s="172">
        <v>3</v>
      </c>
      <c r="BL48" s="172">
        <v>1950.048</v>
      </c>
      <c r="BM48" s="188">
        <f>VLOOKUP(B:B,[1]Sheet17!$E$1:$F$65536,2,0)</f>
        <v>3628.26</v>
      </c>
      <c r="BN48" s="188">
        <f t="shared" si="51"/>
        <v>2003.22</v>
      </c>
      <c r="BO48" s="188">
        <f t="shared" si="52"/>
        <v>1678.212</v>
      </c>
      <c r="BP48" s="188">
        <f>BM48*0.25</f>
        <v>907.06500000000005</v>
      </c>
      <c r="BQ48" s="172"/>
      <c r="BR48" s="172">
        <v>11721.6</v>
      </c>
      <c r="BS48" s="172">
        <v>12893.76</v>
      </c>
      <c r="BT48" s="172">
        <v>14065.92</v>
      </c>
      <c r="BU48" s="172">
        <v>3</v>
      </c>
      <c r="BV48" s="172">
        <v>14065.92</v>
      </c>
      <c r="BW48" s="188">
        <f>VLOOKUP(B:B,[2]Sheet1!$G$1:$H$65536,2,0)</f>
        <v>16111.68</v>
      </c>
      <c r="BX48" s="188">
        <f t="shared" si="53"/>
        <v>4390.08</v>
      </c>
      <c r="BY48" s="188">
        <f t="shared" si="54"/>
        <v>2045.76</v>
      </c>
      <c r="BZ48" s="166">
        <f>BW48*0.12</f>
        <v>1933.4015999999999</v>
      </c>
      <c r="CA48" s="172"/>
      <c r="CB48" s="188">
        <f t="shared" si="55"/>
        <v>5420.82</v>
      </c>
      <c r="CC48" s="218">
        <f>VLOOKUP(B:B,[3]门店完成率!$A:$Y,25,0)</f>
        <v>0.973254526534859</v>
      </c>
      <c r="CD48" s="188">
        <f>CB48*0.5+CB48*0.5*CC48</f>
        <v>5348.3288012653502</v>
      </c>
      <c r="CE48" s="188">
        <f t="shared" si="32"/>
        <v>5348.33</v>
      </c>
      <c r="CF48" s="188">
        <f t="shared" si="56"/>
        <v>0</v>
      </c>
      <c r="CG48" s="188">
        <f t="shared" si="33"/>
        <v>0</v>
      </c>
    </row>
    <row r="49" spans="1:241" s="3" customFormat="1" ht="15" customHeight="1">
      <c r="A49" s="172">
        <v>45</v>
      </c>
      <c r="B49" s="172">
        <v>391</v>
      </c>
      <c r="C49" s="172" t="s">
        <v>91</v>
      </c>
      <c r="D49" s="172" t="s">
        <v>79</v>
      </c>
      <c r="E49" s="173">
        <v>2</v>
      </c>
      <c r="F49" s="173">
        <v>3</v>
      </c>
      <c r="G49" s="173">
        <v>4</v>
      </c>
      <c r="H49" s="173">
        <v>1</v>
      </c>
      <c r="I49" s="173">
        <v>2</v>
      </c>
      <c r="J49" s="165">
        <v>0</v>
      </c>
      <c r="K49" s="165">
        <v>0</v>
      </c>
      <c r="L49" s="165">
        <v>0</v>
      </c>
      <c r="M49" s="165">
        <v>0</v>
      </c>
      <c r="N49" s="165">
        <f t="shared" si="38"/>
        <v>-2</v>
      </c>
      <c r="O49" s="165">
        <f t="shared" si="39"/>
        <v>-2</v>
      </c>
      <c r="P49" s="165">
        <f>K49*70+L49*15+M49*40</f>
        <v>0</v>
      </c>
      <c r="Q49" s="165">
        <f>N49*15</f>
        <v>-30</v>
      </c>
      <c r="R49" s="190">
        <v>2521</v>
      </c>
      <c r="S49" s="11">
        <v>2773.1</v>
      </c>
      <c r="T49" s="11">
        <v>3025.2</v>
      </c>
      <c r="U49" s="11">
        <v>2</v>
      </c>
      <c r="V49" s="190">
        <v>2773.1</v>
      </c>
      <c r="W49" s="188">
        <f>VLOOKUP(B:B,[1]Sheet1!$F$1:$G$65536,2,0)</f>
        <v>4261.3599999999997</v>
      </c>
      <c r="X49" s="188">
        <f t="shared" si="40"/>
        <v>1740.36</v>
      </c>
      <c r="Y49" s="188">
        <f t="shared" si="41"/>
        <v>1488.26</v>
      </c>
      <c r="Z49" s="188">
        <f>W49*0.09</f>
        <v>383.5224</v>
      </c>
      <c r="AA49" s="190"/>
      <c r="AB49" s="173">
        <v>148</v>
      </c>
      <c r="AC49" s="198">
        <v>163</v>
      </c>
      <c r="AD49" s="198">
        <v>178</v>
      </c>
      <c r="AE49" s="178">
        <v>3</v>
      </c>
      <c r="AF49" s="199">
        <v>178</v>
      </c>
      <c r="AG49" s="206">
        <f>VLOOKUP(B:B,[1]Sheet3!$G$1:$H$65536,2,0)</f>
        <v>86</v>
      </c>
      <c r="AH49" s="206">
        <f>VLOOKUP(B:B,[1]Sheet5!$E$1:$F$65536,2,0)</f>
        <v>17</v>
      </c>
      <c r="AI49" s="206">
        <f>VLOOKUP(B:B,[1]Sheet8!$G$1:$H$65536,2,0)</f>
        <v>192</v>
      </c>
      <c r="AJ49" s="206">
        <f t="shared" si="42"/>
        <v>295</v>
      </c>
      <c r="AK49" s="196">
        <f t="shared" si="43"/>
        <v>147</v>
      </c>
      <c r="AL49" s="196">
        <f t="shared" si="44"/>
        <v>117</v>
      </c>
      <c r="AM49" s="196">
        <f>AG49*2.5+AH49*1.5+AI49*4</f>
        <v>1008.5</v>
      </c>
      <c r="AN49" s="199"/>
      <c r="AO49" s="172">
        <v>643.5</v>
      </c>
      <c r="AP49" s="172">
        <v>707.85</v>
      </c>
      <c r="AQ49" s="172">
        <v>772.2</v>
      </c>
      <c r="AR49" s="172">
        <v>3</v>
      </c>
      <c r="AS49" s="172">
        <v>772.2</v>
      </c>
      <c r="AT49" s="188">
        <f>VLOOKUP(B:B,[1]Sheet10!$F$1:$G$65536,2,0)</f>
        <v>813.35</v>
      </c>
      <c r="AU49" s="188">
        <f>VLOOKUP(B:B,[1]Sheet12!$G$1:$H$65536,2,0)</f>
        <v>488.93</v>
      </c>
      <c r="AV49" s="188">
        <f t="shared" si="45"/>
        <v>1302.28</v>
      </c>
      <c r="AW49" s="188">
        <f t="shared" si="46"/>
        <v>658.78</v>
      </c>
      <c r="AX49" s="188">
        <f t="shared" si="47"/>
        <v>530.08000000000004</v>
      </c>
      <c r="AY49" s="168">
        <f>AT49*0.09+AU49*0.05</f>
        <v>97.647999999999996</v>
      </c>
      <c r="AZ49" s="172"/>
      <c r="BA49" s="190">
        <f>VLOOKUP(B:B,[8]查询时间段分门店销售明细!$B$1:$X$65536,23,0)</f>
        <v>11935.28</v>
      </c>
      <c r="BB49" s="188">
        <f>VLOOKUP(B:B,[1]Sheet14!$G$1:$I$65536,3,0)</f>
        <v>15387.6599999999</v>
      </c>
      <c r="BC49" s="188">
        <v>26.99</v>
      </c>
      <c r="BD49" s="188">
        <f t="shared" si="48"/>
        <v>15414.6499999999</v>
      </c>
      <c r="BE49" s="188">
        <f t="shared" si="49"/>
        <v>3479.3699999998998</v>
      </c>
      <c r="BF49" s="188">
        <f t="shared" si="50"/>
        <v>1539.5756999999901</v>
      </c>
      <c r="BG49" s="172"/>
      <c r="BH49" s="172">
        <v>1699.2</v>
      </c>
      <c r="BI49" s="172">
        <v>1869.12</v>
      </c>
      <c r="BJ49" s="172">
        <v>2039.04</v>
      </c>
      <c r="BK49" s="172">
        <v>1</v>
      </c>
      <c r="BL49" s="172">
        <v>1699.2</v>
      </c>
      <c r="BM49" s="188">
        <f>VLOOKUP(B:B,[1]Sheet17!$E$1:$F$65536,2,0)</f>
        <v>1468.56</v>
      </c>
      <c r="BN49" s="188">
        <f t="shared" si="51"/>
        <v>-230.64</v>
      </c>
      <c r="BO49" s="188">
        <f t="shared" si="52"/>
        <v>-230.64</v>
      </c>
      <c r="BP49" s="188">
        <f t="shared" ref="BP49:BP55" si="58">BM49*0.15</f>
        <v>220.28399999999999</v>
      </c>
      <c r="BQ49" s="188">
        <f>BN49*0.05</f>
        <v>-11.532</v>
      </c>
      <c r="BR49" s="172">
        <v>13944.6</v>
      </c>
      <c r="BS49" s="172">
        <v>15339.06</v>
      </c>
      <c r="BT49" s="172">
        <v>16733.52</v>
      </c>
      <c r="BU49" s="172">
        <v>3</v>
      </c>
      <c r="BV49" s="172">
        <v>16733.52</v>
      </c>
      <c r="BW49" s="188">
        <f>VLOOKUP(B:B,[2]Sheet1!$G$1:$H$65536,2,0)</f>
        <v>21022.880000000001</v>
      </c>
      <c r="BX49" s="188">
        <f t="shared" si="53"/>
        <v>7078.28</v>
      </c>
      <c r="BY49" s="188">
        <f t="shared" si="54"/>
        <v>4289.3599999999997</v>
      </c>
      <c r="BZ49" s="166">
        <f>BW49*0.12</f>
        <v>2522.7456000000002</v>
      </c>
      <c r="CA49" s="172"/>
      <c r="CB49" s="188">
        <f t="shared" si="55"/>
        <v>5772.2756999999901</v>
      </c>
      <c r="CC49" s="218">
        <f>VLOOKUP(B:B,[3]门店完成率!$A:$Y,25,0)</f>
        <v>1.1234318728935999</v>
      </c>
      <c r="CD49" s="166">
        <f>CB49</f>
        <v>5772.2756999999901</v>
      </c>
      <c r="CE49" s="188">
        <f t="shared" si="32"/>
        <v>5772.28</v>
      </c>
      <c r="CF49" s="188">
        <f t="shared" si="56"/>
        <v>-41.531999999999996</v>
      </c>
      <c r="CG49" s="188">
        <f t="shared" si="33"/>
        <v>-41.53</v>
      </c>
      <c r="FL49" s="26"/>
      <c r="FM49" s="26"/>
      <c r="FN49" s="26"/>
      <c r="FO49" s="26"/>
      <c r="FP49" s="26"/>
      <c r="FQ49" s="26"/>
      <c r="FR49" s="26"/>
      <c r="FS49" s="26"/>
      <c r="FT49" s="26"/>
      <c r="FU49" s="26"/>
      <c r="FV49" s="26"/>
      <c r="FW49" s="26"/>
      <c r="FX49" s="26"/>
      <c r="FY49" s="26"/>
      <c r="FZ49" s="26"/>
      <c r="GA49" s="26"/>
      <c r="GB49" s="26"/>
      <c r="GC49" s="26"/>
      <c r="GD49" s="26"/>
      <c r="GE49" s="26"/>
      <c r="GF49" s="26"/>
      <c r="GG49" s="26"/>
      <c r="GH49" s="26"/>
      <c r="GI49" s="26"/>
      <c r="GJ49" s="26"/>
      <c r="GK49" s="26"/>
      <c r="GL49" s="26"/>
      <c r="GM49" s="26"/>
      <c r="GN49" s="26"/>
      <c r="GO49" s="26"/>
      <c r="GP49" s="26"/>
      <c r="GQ49" s="26"/>
      <c r="GR49" s="26"/>
      <c r="GS49" s="26"/>
      <c r="GT49" s="26"/>
      <c r="GU49" s="26"/>
      <c r="GV49" s="26"/>
      <c r="GW49" s="26"/>
      <c r="GX49" s="26"/>
      <c r="GY49" s="26"/>
      <c r="GZ49" s="26"/>
      <c r="HA49" s="26"/>
      <c r="HB49" s="26"/>
      <c r="HC49" s="26"/>
      <c r="HD49" s="26"/>
      <c r="HE49" s="26"/>
    </row>
    <row r="50" spans="1:241" s="3" customFormat="1" ht="12.95" customHeight="1">
      <c r="A50" s="172">
        <v>46</v>
      </c>
      <c r="B50" s="172">
        <v>517</v>
      </c>
      <c r="C50" s="172" t="s">
        <v>92</v>
      </c>
      <c r="D50" s="172" t="s">
        <v>79</v>
      </c>
      <c r="E50" s="173">
        <v>3</v>
      </c>
      <c r="F50" s="173">
        <v>4</v>
      </c>
      <c r="G50" s="173">
        <v>5</v>
      </c>
      <c r="H50" s="176">
        <v>1</v>
      </c>
      <c r="I50" s="173">
        <v>3</v>
      </c>
      <c r="J50" s="165">
        <v>4</v>
      </c>
      <c r="K50" s="165">
        <f>VLOOKUP(B:B,[5]Sheet1!$I$1:$K$65536,3,0)</f>
        <v>0</v>
      </c>
      <c r="L50" s="165">
        <f>VLOOKUP(B:B,[5]Sheet1!$I$1:$M$65536,5,0)</f>
        <v>4</v>
      </c>
      <c r="M50" s="165">
        <f>VLOOKUP(B:B,[5]Sheet1!$I$1:$N$65536,6,0)</f>
        <v>0</v>
      </c>
      <c r="N50" s="165">
        <f t="shared" si="38"/>
        <v>1</v>
      </c>
      <c r="O50" s="165">
        <f t="shared" si="39"/>
        <v>1</v>
      </c>
      <c r="P50" s="165">
        <f>K50*90+L50*15+M50*40</f>
        <v>60</v>
      </c>
      <c r="Q50" s="165"/>
      <c r="R50" s="190">
        <v>2849</v>
      </c>
      <c r="S50" s="11">
        <v>3133.9</v>
      </c>
      <c r="T50" s="11">
        <v>3418.8</v>
      </c>
      <c r="U50" s="176">
        <v>1</v>
      </c>
      <c r="V50" s="190">
        <v>2849</v>
      </c>
      <c r="W50" s="188">
        <f>VLOOKUP(B:B,[1]Sheet1!$F$1:$G$65536,2,0)</f>
        <v>4280.76</v>
      </c>
      <c r="X50" s="188">
        <f t="shared" si="40"/>
        <v>1431.76</v>
      </c>
      <c r="Y50" s="188">
        <f t="shared" si="41"/>
        <v>1431.76</v>
      </c>
      <c r="Z50" s="188">
        <f>W50*0.07</f>
        <v>299.65320000000003</v>
      </c>
      <c r="AA50" s="190"/>
      <c r="AB50" s="173">
        <v>162</v>
      </c>
      <c r="AC50" s="198">
        <v>178</v>
      </c>
      <c r="AD50" s="198">
        <v>194</v>
      </c>
      <c r="AE50" s="176">
        <v>3</v>
      </c>
      <c r="AF50" s="199">
        <v>194</v>
      </c>
      <c r="AG50" s="206">
        <f>VLOOKUP(B:B,[1]Sheet3!$G$1:$H$65536,2,0)</f>
        <v>97</v>
      </c>
      <c r="AH50" s="206">
        <f>VLOOKUP(B:B,[1]Sheet5!$E$1:$F$65536,2,0)</f>
        <v>20</v>
      </c>
      <c r="AI50" s="206">
        <f>VLOOKUP(B:B,[1]Sheet8!$G$1:$H$65536,2,0)</f>
        <v>42</v>
      </c>
      <c r="AJ50" s="206">
        <f t="shared" si="42"/>
        <v>159</v>
      </c>
      <c r="AK50" s="196">
        <f t="shared" si="43"/>
        <v>-3</v>
      </c>
      <c r="AL50" s="196">
        <f t="shared" si="44"/>
        <v>-35</v>
      </c>
      <c r="AM50" s="199"/>
      <c r="AN50" s="196">
        <f>AK50*1</f>
        <v>-3</v>
      </c>
      <c r="AO50" s="172">
        <v>832.5</v>
      </c>
      <c r="AP50" s="172">
        <v>915.75</v>
      </c>
      <c r="AQ50" s="172">
        <v>999</v>
      </c>
      <c r="AR50" s="176">
        <v>3</v>
      </c>
      <c r="AS50" s="172">
        <v>999</v>
      </c>
      <c r="AT50" s="188">
        <f>VLOOKUP(B:B,[1]Sheet10!$F$1:$G$65536,2,0)</f>
        <v>985.6</v>
      </c>
      <c r="AU50" s="188">
        <f>VLOOKUP(B:B,[1]Sheet12!$G$1:$H$65536,2,0)</f>
        <v>683.6</v>
      </c>
      <c r="AV50" s="188">
        <f t="shared" si="45"/>
        <v>1669.2</v>
      </c>
      <c r="AW50" s="188">
        <f t="shared" si="46"/>
        <v>836.7</v>
      </c>
      <c r="AX50" s="188">
        <f t="shared" si="47"/>
        <v>670.2</v>
      </c>
      <c r="AY50" s="168">
        <f>AT50*0.09+AU50*0.05</f>
        <v>122.884</v>
      </c>
      <c r="AZ50" s="172"/>
      <c r="BA50" s="190">
        <f>VLOOKUP(B:B,[6]查询时间段分门店销售明细!$B$1:$X$65536,23,0)</f>
        <v>9297.99</v>
      </c>
      <c r="BB50" s="188">
        <f>VLOOKUP(B:B,[1]Sheet14!$G$1:$I$65536,3,0)</f>
        <v>7488.6000000000104</v>
      </c>
      <c r="BC50" s="188">
        <v>13.3</v>
      </c>
      <c r="BD50" s="188">
        <f t="shared" si="48"/>
        <v>7501.9000000000096</v>
      </c>
      <c r="BE50" s="188">
        <f t="shared" si="49"/>
        <v>-1796.0899999999899</v>
      </c>
      <c r="BF50" s="188">
        <f t="shared" si="50"/>
        <v>749.25900000000104</v>
      </c>
      <c r="BG50" s="210">
        <f>BE50*0.03</f>
        <v>-53.882699999999701</v>
      </c>
      <c r="BH50" s="172">
        <v>3181.68</v>
      </c>
      <c r="BI50" s="172">
        <v>3499.848</v>
      </c>
      <c r="BJ50" s="172">
        <v>3818.0160000000001</v>
      </c>
      <c r="BK50" s="69">
        <v>1</v>
      </c>
      <c r="BL50" s="172">
        <v>3181.68</v>
      </c>
      <c r="BM50" s="188">
        <f>VLOOKUP(B:B,[1]Sheet17!$E$1:$F$65536,2,0)</f>
        <v>1283.26</v>
      </c>
      <c r="BN50" s="188">
        <f t="shared" si="51"/>
        <v>-1898.42</v>
      </c>
      <c r="BO50" s="188">
        <f t="shared" si="52"/>
        <v>-1898.42</v>
      </c>
      <c r="BP50" s="188">
        <f t="shared" si="58"/>
        <v>192.489</v>
      </c>
      <c r="BQ50" s="188">
        <f>BN50*0.05</f>
        <v>-94.921000000000006</v>
      </c>
      <c r="BR50" s="172">
        <v>15926.4</v>
      </c>
      <c r="BS50" s="172">
        <v>17519.04</v>
      </c>
      <c r="BT50" s="172">
        <v>19111.68</v>
      </c>
      <c r="BU50" s="69">
        <v>3</v>
      </c>
      <c r="BV50" s="172">
        <v>19111.68</v>
      </c>
      <c r="BW50" s="188">
        <f>VLOOKUP(B:B,[2]Sheet1!$G$1:$H$65536,2,0)</f>
        <v>25049.85</v>
      </c>
      <c r="BX50" s="188">
        <f t="shared" si="53"/>
        <v>9123.4500000000007</v>
      </c>
      <c r="BY50" s="188">
        <f t="shared" si="54"/>
        <v>5938.17</v>
      </c>
      <c r="BZ50" s="166">
        <f>BW50*0.12</f>
        <v>3005.982</v>
      </c>
      <c r="CA50" s="172"/>
      <c r="CB50" s="188">
        <f t="shared" si="55"/>
        <v>4430.2672000000002</v>
      </c>
      <c r="CC50" s="218">
        <f>VLOOKUP(B:B,[3]门店完成率!$A:$Y,25,0)</f>
        <v>1.15020523297491</v>
      </c>
      <c r="CD50" s="166">
        <f>CB50</f>
        <v>4430.2672000000002</v>
      </c>
      <c r="CE50" s="188">
        <f t="shared" si="32"/>
        <v>4430.2700000000004</v>
      </c>
      <c r="CF50" s="188">
        <f t="shared" si="56"/>
        <v>-151.80369999999999</v>
      </c>
      <c r="CG50" s="188">
        <f t="shared" si="33"/>
        <v>-151.80000000000001</v>
      </c>
      <c r="FL50" s="26"/>
      <c r="FM50" s="26"/>
      <c r="FN50" s="26"/>
      <c r="FO50" s="26"/>
      <c r="FP50" s="26"/>
      <c r="FQ50" s="26"/>
      <c r="FR50" s="26"/>
      <c r="FS50" s="26"/>
      <c r="FT50" s="26"/>
      <c r="FU50" s="26"/>
      <c r="FV50" s="26"/>
      <c r="FW50" s="26"/>
      <c r="FX50" s="26"/>
      <c r="FY50" s="26"/>
      <c r="FZ50" s="26"/>
      <c r="GA50" s="26"/>
      <c r="GB50" s="26"/>
      <c r="GC50" s="26"/>
      <c r="GD50" s="26"/>
      <c r="GE50" s="26"/>
      <c r="GF50" s="26"/>
      <c r="GG50" s="26"/>
      <c r="GH50" s="26"/>
      <c r="GI50" s="26"/>
      <c r="GJ50" s="26"/>
      <c r="GK50" s="26"/>
      <c r="GL50" s="26"/>
      <c r="GM50" s="26"/>
      <c r="GN50" s="26"/>
      <c r="GO50" s="26"/>
      <c r="GP50" s="26"/>
      <c r="GQ50" s="26"/>
      <c r="GR50" s="26"/>
      <c r="GS50" s="26"/>
      <c r="GT50" s="26"/>
      <c r="GU50" s="26"/>
      <c r="GV50" s="26"/>
      <c r="GW50" s="26"/>
      <c r="GX50" s="26"/>
      <c r="GY50" s="26"/>
      <c r="GZ50" s="26"/>
      <c r="HA50" s="26"/>
      <c r="HB50" s="26"/>
      <c r="HC50" s="26"/>
      <c r="HD50" s="26"/>
      <c r="HE50" s="26"/>
      <c r="HF50" s="26"/>
      <c r="HG50" s="26"/>
      <c r="HH50" s="26"/>
      <c r="HI50" s="26"/>
      <c r="HJ50" s="26"/>
      <c r="HK50" s="26"/>
      <c r="HL50" s="26"/>
      <c r="HM50" s="26"/>
      <c r="HN50" s="26"/>
      <c r="HO50" s="26"/>
      <c r="HP50" s="26"/>
      <c r="HQ50" s="26"/>
      <c r="HR50" s="26"/>
      <c r="HS50" s="26"/>
      <c r="HT50" s="26"/>
      <c r="HU50" s="26"/>
      <c r="HV50" s="26"/>
      <c r="HW50" s="26"/>
      <c r="HX50" s="26"/>
      <c r="HY50" s="26"/>
      <c r="HZ50" s="26"/>
      <c r="IA50" s="26"/>
      <c r="IB50" s="26"/>
      <c r="IC50" s="26"/>
      <c r="ID50" s="26"/>
      <c r="IE50" s="26"/>
      <c r="IF50" s="26"/>
      <c r="IG50" s="26"/>
    </row>
    <row r="51" spans="1:241" s="3" customFormat="1" ht="12.95" customHeight="1">
      <c r="A51" s="172">
        <v>47</v>
      </c>
      <c r="B51" s="172">
        <v>742</v>
      </c>
      <c r="C51" s="172" t="s">
        <v>93</v>
      </c>
      <c r="D51" s="172" t="s">
        <v>79</v>
      </c>
      <c r="E51" s="173">
        <v>2</v>
      </c>
      <c r="F51" s="173">
        <v>3</v>
      </c>
      <c r="G51" s="173">
        <v>4</v>
      </c>
      <c r="H51" s="173">
        <v>1</v>
      </c>
      <c r="I51" s="173">
        <v>2</v>
      </c>
      <c r="J51" s="165">
        <v>6</v>
      </c>
      <c r="K51" s="165">
        <f>VLOOKUP(B:B,[5]Sheet1!$I$1:$K$65536,3,0)</f>
        <v>0</v>
      </c>
      <c r="L51" s="165">
        <f>VLOOKUP(B:B,[5]Sheet1!$I$1:$M$65536,5,0)</f>
        <v>6</v>
      </c>
      <c r="M51" s="165">
        <f>VLOOKUP(B:B,[5]Sheet1!$I$1:$N$65536,6,0)</f>
        <v>0</v>
      </c>
      <c r="N51" s="165">
        <f t="shared" si="38"/>
        <v>4</v>
      </c>
      <c r="O51" s="165">
        <f t="shared" si="39"/>
        <v>4</v>
      </c>
      <c r="P51" s="165">
        <f>K51*90+L51*15+M51*40</f>
        <v>90</v>
      </c>
      <c r="Q51" s="165"/>
      <c r="R51" s="190">
        <v>1086</v>
      </c>
      <c r="S51" s="11">
        <v>1194.5999999999999</v>
      </c>
      <c r="T51" s="11">
        <v>1303.2</v>
      </c>
      <c r="U51" s="11">
        <v>3</v>
      </c>
      <c r="V51" s="190">
        <v>1303.2</v>
      </c>
      <c r="W51" s="188">
        <f>VLOOKUP(B:B,[1]Sheet1!$F$1:$G$65536,2,0)</f>
        <v>2676.55</v>
      </c>
      <c r="X51" s="188">
        <f t="shared" si="40"/>
        <v>1590.55</v>
      </c>
      <c r="Y51" s="188">
        <f t="shared" si="41"/>
        <v>1373.35</v>
      </c>
      <c r="Z51" s="188">
        <f>W51*0.11</f>
        <v>294.4205</v>
      </c>
      <c r="AA51" s="190"/>
      <c r="AB51" s="173">
        <v>113</v>
      </c>
      <c r="AC51" s="198">
        <v>124</v>
      </c>
      <c r="AD51" s="198">
        <v>136</v>
      </c>
      <c r="AE51" s="178">
        <v>3</v>
      </c>
      <c r="AF51" s="199">
        <v>136</v>
      </c>
      <c r="AG51" s="206">
        <f>VLOOKUP(B:B,[1]Sheet3!$G$1:$H$65536,2,0)</f>
        <v>64</v>
      </c>
      <c r="AH51" s="206">
        <f>VLOOKUP(B:B,[1]Sheet5!$E$1:$F$65536,2,0)</f>
        <v>13</v>
      </c>
      <c r="AI51" s="206">
        <f>VLOOKUP(B:B,[1]Sheet8!$G$1:$H$65536,2,0)</f>
        <v>100</v>
      </c>
      <c r="AJ51" s="206">
        <f t="shared" si="42"/>
        <v>177</v>
      </c>
      <c r="AK51" s="196">
        <f t="shared" si="43"/>
        <v>64</v>
      </c>
      <c r="AL51" s="196">
        <f t="shared" si="44"/>
        <v>41</v>
      </c>
      <c r="AM51" s="196">
        <f>AG51*2.5+AH51*1.5+AI51*4</f>
        <v>579.5</v>
      </c>
      <c r="AN51" s="199"/>
      <c r="AO51" s="172">
        <v>703.8</v>
      </c>
      <c r="AP51" s="172">
        <v>774.18</v>
      </c>
      <c r="AQ51" s="172">
        <v>844.56</v>
      </c>
      <c r="AR51" s="172">
        <v>2</v>
      </c>
      <c r="AS51" s="172">
        <v>774.18</v>
      </c>
      <c r="AT51" s="188">
        <f>VLOOKUP(B:B,[1]Sheet10!$F$1:$G$65536,2,0)</f>
        <v>577.79999999999995</v>
      </c>
      <c r="AU51" s="188">
        <f>VLOOKUP(B:B,[1]Sheet12!$G$1:$H$65536,2,0)</f>
        <v>226</v>
      </c>
      <c r="AV51" s="188">
        <f t="shared" si="45"/>
        <v>803.8</v>
      </c>
      <c r="AW51" s="188">
        <f t="shared" si="46"/>
        <v>100</v>
      </c>
      <c r="AX51" s="188">
        <f t="shared" si="47"/>
        <v>29.62</v>
      </c>
      <c r="AY51" s="172">
        <f>AT51*0.07+AU51*0.04</f>
        <v>49.485999999999997</v>
      </c>
      <c r="AZ51" s="172"/>
      <c r="BA51" s="190">
        <f>VLOOKUP(B:B,[9]查询时间段分门店销售明细!$B$1:$X$65536,23,0)</f>
        <v>5470.12</v>
      </c>
      <c r="BB51" s="188">
        <f>VLOOKUP(B:B,[1]Sheet14!$G$1:$I$65536,3,0)</f>
        <v>2300.5</v>
      </c>
      <c r="BC51" s="188">
        <v>53.75</v>
      </c>
      <c r="BD51" s="188">
        <f t="shared" si="48"/>
        <v>2354.25</v>
      </c>
      <c r="BE51" s="188">
        <f t="shared" si="49"/>
        <v>-3115.87</v>
      </c>
      <c r="BF51" s="188">
        <f t="shared" si="50"/>
        <v>231.66249999999999</v>
      </c>
      <c r="BG51" s="210">
        <f>BE51*0.03</f>
        <v>-93.476100000000002</v>
      </c>
      <c r="BH51" s="172">
        <v>2656.8</v>
      </c>
      <c r="BI51" s="172">
        <v>2922.48</v>
      </c>
      <c r="BJ51" s="172">
        <v>3188.16</v>
      </c>
      <c r="BK51" s="172">
        <v>1</v>
      </c>
      <c r="BL51" s="172">
        <v>2656.8</v>
      </c>
      <c r="BM51" s="188">
        <f>VLOOKUP(B:B,[1]Sheet17!$E$1:$F$65536,2,0)</f>
        <v>1537.93</v>
      </c>
      <c r="BN51" s="188">
        <f t="shared" si="51"/>
        <v>-1118.8699999999999</v>
      </c>
      <c r="BO51" s="188">
        <f t="shared" si="52"/>
        <v>-1118.8699999999999</v>
      </c>
      <c r="BP51" s="188">
        <f t="shared" si="58"/>
        <v>230.68950000000001</v>
      </c>
      <c r="BQ51" s="188">
        <f>BN51*0.05</f>
        <v>-55.9435</v>
      </c>
      <c r="BR51" s="172">
        <v>18828</v>
      </c>
      <c r="BS51" s="172">
        <v>20710.8</v>
      </c>
      <c r="BT51" s="172">
        <v>22593.599999999999</v>
      </c>
      <c r="BU51" s="172">
        <v>2</v>
      </c>
      <c r="BV51" s="172">
        <v>20710.8</v>
      </c>
      <c r="BW51" s="188">
        <f>VLOOKUP(B:B,[2]Sheet1!$G$1:$H$65536,2,0)</f>
        <v>20530.46</v>
      </c>
      <c r="BX51" s="188">
        <f t="shared" si="53"/>
        <v>1702.46</v>
      </c>
      <c r="BY51" s="188">
        <f t="shared" si="54"/>
        <v>-180.34</v>
      </c>
      <c r="BZ51" s="166">
        <f>BW51*0.08</f>
        <v>1642.4367999999999</v>
      </c>
      <c r="CA51" s="172"/>
      <c r="CB51" s="188">
        <f t="shared" si="55"/>
        <v>3118.1952999999999</v>
      </c>
      <c r="CC51" s="218">
        <f>VLOOKUP(B:B,[3]门店完成率!$A:$Y,25,0)</f>
        <v>0.92356180351906203</v>
      </c>
      <c r="CD51" s="188">
        <f>CB51*0.5+CB51*0.5*CC51</f>
        <v>2999.0206874963301</v>
      </c>
      <c r="CE51" s="188">
        <f t="shared" si="32"/>
        <v>2999.02</v>
      </c>
      <c r="CF51" s="188">
        <f t="shared" si="56"/>
        <v>-149.4196</v>
      </c>
      <c r="CG51" s="188">
        <f t="shared" si="33"/>
        <v>-149.41999999999999</v>
      </c>
      <c r="FL51" s="26"/>
      <c r="FM51" s="26"/>
      <c r="FN51" s="26"/>
      <c r="FO51" s="26"/>
      <c r="FP51" s="26"/>
      <c r="FQ51" s="26"/>
      <c r="FR51" s="26"/>
      <c r="FS51" s="26"/>
      <c r="FT51" s="26"/>
      <c r="FU51" s="26"/>
      <c r="FV51" s="26"/>
      <c r="FW51" s="26"/>
      <c r="FX51" s="26"/>
      <c r="FY51" s="26"/>
      <c r="FZ51" s="26"/>
      <c r="GA51" s="26"/>
      <c r="GB51" s="26"/>
      <c r="GC51" s="26"/>
      <c r="GD51" s="26"/>
      <c r="GE51" s="26"/>
      <c r="GF51" s="26"/>
      <c r="GG51" s="26"/>
      <c r="GH51" s="26"/>
      <c r="GI51" s="26"/>
      <c r="GJ51" s="26"/>
      <c r="GK51" s="26"/>
      <c r="GL51" s="26"/>
      <c r="GM51" s="26"/>
      <c r="GN51" s="26"/>
      <c r="GO51" s="26"/>
      <c r="GP51" s="26"/>
      <c r="GQ51" s="26"/>
      <c r="GR51" s="26"/>
      <c r="GS51" s="26"/>
      <c r="GT51" s="26"/>
      <c r="GU51" s="26"/>
      <c r="GV51" s="26"/>
      <c r="GW51" s="26"/>
      <c r="GX51" s="26"/>
      <c r="GY51" s="26"/>
      <c r="GZ51" s="26"/>
      <c r="HA51" s="26"/>
      <c r="HB51" s="26"/>
      <c r="HC51" s="26"/>
      <c r="HD51" s="26"/>
      <c r="HE51" s="26"/>
    </row>
    <row r="52" spans="1:241" s="3" customFormat="1" ht="12.95" customHeight="1">
      <c r="A52" s="172">
        <v>48</v>
      </c>
      <c r="B52" s="172">
        <v>744</v>
      </c>
      <c r="C52" s="172" t="s">
        <v>94</v>
      </c>
      <c r="D52" s="172" t="s">
        <v>79</v>
      </c>
      <c r="E52" s="173">
        <v>3</v>
      </c>
      <c r="F52" s="173">
        <v>4</v>
      </c>
      <c r="G52" s="173">
        <v>5</v>
      </c>
      <c r="H52" s="173">
        <v>1</v>
      </c>
      <c r="I52" s="173">
        <v>3</v>
      </c>
      <c r="J52" s="165">
        <v>0</v>
      </c>
      <c r="K52" s="165">
        <v>0</v>
      </c>
      <c r="L52" s="165">
        <v>0</v>
      </c>
      <c r="M52" s="165">
        <v>0</v>
      </c>
      <c r="N52" s="165">
        <f t="shared" si="38"/>
        <v>-3</v>
      </c>
      <c r="O52" s="165">
        <f t="shared" si="39"/>
        <v>-3</v>
      </c>
      <c r="P52" s="165">
        <f>K52*70+L52*15+M52*40</f>
        <v>0</v>
      </c>
      <c r="Q52" s="165">
        <f>N52*15</f>
        <v>-45</v>
      </c>
      <c r="R52" s="190">
        <v>2505</v>
      </c>
      <c r="S52" s="11">
        <v>2755.5</v>
      </c>
      <c r="T52" s="11">
        <v>3006</v>
      </c>
      <c r="U52" s="11">
        <v>1</v>
      </c>
      <c r="V52" s="190">
        <v>2505</v>
      </c>
      <c r="W52" s="188">
        <f>VLOOKUP(B:B,[1]Sheet1!$F$1:$G$65536,2,0)</f>
        <v>1624.54</v>
      </c>
      <c r="X52" s="188">
        <f t="shared" si="40"/>
        <v>-880.46</v>
      </c>
      <c r="Y52" s="188">
        <f t="shared" si="41"/>
        <v>-880.46</v>
      </c>
      <c r="Z52" s="190"/>
      <c r="AA52" s="197">
        <f>X52*0.05</f>
        <v>-44.023000000000003</v>
      </c>
      <c r="AB52" s="173">
        <v>110</v>
      </c>
      <c r="AC52" s="198">
        <v>121</v>
      </c>
      <c r="AD52" s="198">
        <v>132</v>
      </c>
      <c r="AE52" s="178">
        <v>1</v>
      </c>
      <c r="AF52" s="199">
        <v>110</v>
      </c>
      <c r="AG52" s="206">
        <f>VLOOKUP(B:B,[1]Sheet3!$G$1:$H$65536,2,0)</f>
        <v>75</v>
      </c>
      <c r="AH52" s="206">
        <f>VLOOKUP(B:B,[1]Sheet5!$E$1:$F$65536,2,0)</f>
        <v>15</v>
      </c>
      <c r="AI52" s="206">
        <f>VLOOKUP(B:B,[1]Sheet8!$G$1:$H$65536,2,0)</f>
        <v>44</v>
      </c>
      <c r="AJ52" s="206">
        <f t="shared" si="42"/>
        <v>134</v>
      </c>
      <c r="AK52" s="196">
        <f t="shared" si="43"/>
        <v>24</v>
      </c>
      <c r="AL52" s="196">
        <f t="shared" si="44"/>
        <v>24</v>
      </c>
      <c r="AM52" s="196">
        <f>AG52*1+AH52*0.5+AI52*2</f>
        <v>170.5</v>
      </c>
      <c r="AN52" s="199"/>
      <c r="AO52" s="172">
        <v>540.9</v>
      </c>
      <c r="AP52" s="172">
        <v>594.99</v>
      </c>
      <c r="AQ52" s="172">
        <v>649.08000000000004</v>
      </c>
      <c r="AR52" s="172">
        <v>1</v>
      </c>
      <c r="AS52" s="172">
        <v>540.9</v>
      </c>
      <c r="AT52" s="188">
        <f>VLOOKUP(B:B,[1]Sheet10!$F$1:$G$65536,2,0)</f>
        <v>64.8</v>
      </c>
      <c r="AU52" s="188">
        <f>VLOOKUP(B:B,[1]Sheet12!$G$1:$H$65536,2,0)</f>
        <v>28.75</v>
      </c>
      <c r="AV52" s="188">
        <f t="shared" si="45"/>
        <v>93.55</v>
      </c>
      <c r="AW52" s="188">
        <f t="shared" si="46"/>
        <v>-447.35</v>
      </c>
      <c r="AX52" s="188">
        <f t="shared" si="47"/>
        <v>-447.35</v>
      </c>
      <c r="AY52" s="172"/>
      <c r="AZ52" s="188">
        <f>AW52*0.04</f>
        <v>-17.893999999999998</v>
      </c>
      <c r="BA52" s="190">
        <f>VLOOKUP(B:B,[8]查询时间段分门店销售明细!$B$1:$X$65536,23,0)</f>
        <v>21052.41</v>
      </c>
      <c r="BB52" s="188">
        <f>VLOOKUP(B:B,[1]Sheet14!$G$1:$I$65536,3,0)</f>
        <v>27084.14</v>
      </c>
      <c r="BC52" s="188">
        <v>130.88999999999999</v>
      </c>
      <c r="BD52" s="188">
        <f t="shared" si="48"/>
        <v>27215.03</v>
      </c>
      <c r="BE52" s="188">
        <f t="shared" si="49"/>
        <v>6162.62</v>
      </c>
      <c r="BF52" s="188">
        <f t="shared" si="50"/>
        <v>2712.3407000000002</v>
      </c>
      <c r="BG52" s="172"/>
      <c r="BH52" s="172">
        <v>1992.96</v>
      </c>
      <c r="BI52" s="172">
        <v>2192.2559999999999</v>
      </c>
      <c r="BJ52" s="172">
        <v>2391.5520000000001</v>
      </c>
      <c r="BK52" s="172">
        <v>1</v>
      </c>
      <c r="BL52" s="172">
        <v>1992.96</v>
      </c>
      <c r="BM52" s="188">
        <f>VLOOKUP(B:B,[1]Sheet17!$E$1:$F$65536,2,0)</f>
        <v>61</v>
      </c>
      <c r="BN52" s="188">
        <f t="shared" si="51"/>
        <v>-1931.96</v>
      </c>
      <c r="BO52" s="188">
        <f t="shared" si="52"/>
        <v>-1931.96</v>
      </c>
      <c r="BP52" s="188">
        <f t="shared" si="58"/>
        <v>9.15</v>
      </c>
      <c r="BQ52" s="188">
        <f>BN52*0.05</f>
        <v>-96.597999999999999</v>
      </c>
      <c r="BR52" s="172">
        <v>11927.7</v>
      </c>
      <c r="BS52" s="172">
        <v>13120.47</v>
      </c>
      <c r="BT52" s="172">
        <v>14313.24</v>
      </c>
      <c r="BU52" s="172">
        <v>1</v>
      </c>
      <c r="BV52" s="172">
        <v>11927.7</v>
      </c>
      <c r="BW52" s="188">
        <f>VLOOKUP(B:B,[2]Sheet1!$G$1:$H$65536,2,0)</f>
        <v>5772.07</v>
      </c>
      <c r="BX52" s="188">
        <f t="shared" si="53"/>
        <v>-6155.63</v>
      </c>
      <c r="BY52" s="188">
        <f t="shared" si="54"/>
        <v>-6155.63</v>
      </c>
      <c r="BZ52" s="166">
        <f>BW52*0.08</f>
        <v>461.76560000000001</v>
      </c>
      <c r="CA52" s="174">
        <f>BX52*0.05</f>
        <v>-307.78149999999999</v>
      </c>
      <c r="CB52" s="188">
        <f t="shared" si="55"/>
        <v>3353.7563</v>
      </c>
      <c r="CC52" s="218">
        <f>VLOOKUP(B:B,[3]门店完成率!$A:$Y,25,0)</f>
        <v>1.05277332170881</v>
      </c>
      <c r="CD52" s="166">
        <f>CB52</f>
        <v>3353.7563</v>
      </c>
      <c r="CE52" s="188">
        <f t="shared" si="32"/>
        <v>3353.76</v>
      </c>
      <c r="CF52" s="188">
        <f t="shared" si="56"/>
        <v>-511.29649999999998</v>
      </c>
      <c r="CG52" s="188">
        <f t="shared" si="33"/>
        <v>-511.3</v>
      </c>
      <c r="FL52" s="26"/>
      <c r="FM52" s="26"/>
      <c r="FN52" s="26"/>
      <c r="FO52" s="26"/>
      <c r="FP52" s="26"/>
      <c r="FQ52" s="26"/>
      <c r="FR52" s="26"/>
      <c r="FS52" s="26"/>
      <c r="FT52" s="26"/>
      <c r="FU52" s="26"/>
      <c r="FV52" s="26"/>
      <c r="FW52" s="26"/>
      <c r="FX52" s="26"/>
      <c r="FY52" s="26"/>
      <c r="FZ52" s="26"/>
      <c r="GA52" s="26"/>
      <c r="GB52" s="26"/>
      <c r="GC52" s="26"/>
      <c r="GD52" s="26"/>
      <c r="GE52" s="26"/>
      <c r="GF52" s="26"/>
      <c r="GG52" s="26"/>
      <c r="GH52" s="26"/>
      <c r="GI52" s="26"/>
      <c r="GJ52" s="26"/>
      <c r="GK52" s="26"/>
      <c r="GL52" s="26"/>
      <c r="GM52" s="26"/>
      <c r="GN52" s="26"/>
      <c r="GO52" s="26"/>
      <c r="GP52" s="26"/>
      <c r="GQ52" s="26"/>
      <c r="GR52" s="26"/>
      <c r="GS52" s="26"/>
      <c r="GT52" s="26"/>
      <c r="GU52" s="26"/>
      <c r="GV52" s="26"/>
      <c r="GW52" s="26"/>
      <c r="GX52" s="26"/>
      <c r="GY52" s="26"/>
      <c r="GZ52" s="26"/>
      <c r="HA52" s="26"/>
      <c r="HB52" s="26"/>
      <c r="HC52" s="26"/>
      <c r="HD52" s="26"/>
      <c r="HE52" s="26"/>
      <c r="HF52" s="26"/>
      <c r="HG52" s="26"/>
      <c r="HH52" s="26"/>
      <c r="HI52" s="26"/>
      <c r="HJ52" s="26"/>
      <c r="HK52" s="26"/>
      <c r="HL52" s="26"/>
      <c r="HM52" s="26"/>
      <c r="HN52" s="26"/>
      <c r="HO52" s="26"/>
      <c r="HP52" s="26"/>
      <c r="HQ52" s="26"/>
      <c r="HR52" s="26"/>
      <c r="HS52" s="26"/>
      <c r="HT52" s="26"/>
      <c r="HU52" s="26"/>
      <c r="HV52" s="26"/>
      <c r="HW52" s="26"/>
      <c r="HX52" s="26"/>
      <c r="HY52" s="26"/>
      <c r="HZ52" s="26"/>
      <c r="IA52" s="26"/>
      <c r="IB52" s="26"/>
      <c r="IC52" s="26"/>
      <c r="ID52" s="26"/>
      <c r="IE52" s="26"/>
      <c r="IF52" s="26"/>
      <c r="IG52" s="26"/>
    </row>
    <row r="53" spans="1:241" s="3" customFormat="1" ht="12.95" customHeight="1">
      <c r="A53" s="172">
        <v>49</v>
      </c>
      <c r="B53" s="172">
        <v>102479</v>
      </c>
      <c r="C53" s="172" t="s">
        <v>95</v>
      </c>
      <c r="D53" s="172" t="s">
        <v>79</v>
      </c>
      <c r="E53" s="177">
        <v>0</v>
      </c>
      <c r="F53" s="178">
        <v>0</v>
      </c>
      <c r="G53" s="178">
        <v>0</v>
      </c>
      <c r="H53" s="173"/>
      <c r="I53" s="173"/>
      <c r="J53" s="165">
        <v>0</v>
      </c>
      <c r="K53" s="165">
        <v>0</v>
      </c>
      <c r="L53" s="165">
        <v>0</v>
      </c>
      <c r="M53" s="165">
        <v>0</v>
      </c>
      <c r="N53" s="165">
        <f t="shared" si="38"/>
        <v>0</v>
      </c>
      <c r="O53" s="165">
        <f t="shared" si="39"/>
        <v>0</v>
      </c>
      <c r="P53" s="165">
        <f>K53*70+L53*15+M53*40</f>
        <v>0</v>
      </c>
      <c r="Q53" s="165">
        <f>N53*15</f>
        <v>0</v>
      </c>
      <c r="R53" s="190">
        <v>0</v>
      </c>
      <c r="S53" s="11">
        <v>0</v>
      </c>
      <c r="T53" s="11">
        <v>0</v>
      </c>
      <c r="U53" s="11"/>
      <c r="V53" s="190"/>
      <c r="W53" s="188">
        <f>VLOOKUP(B:B,[1]Sheet1!$F$1:$G$65536,2,0)</f>
        <v>542.30999999999995</v>
      </c>
      <c r="X53" s="188">
        <f t="shared" si="40"/>
        <v>542.30999999999995</v>
      </c>
      <c r="Y53" s="188">
        <f t="shared" si="41"/>
        <v>542.30999999999995</v>
      </c>
      <c r="Z53" s="188">
        <f>W53*0.07</f>
        <v>37.9617</v>
      </c>
      <c r="AA53" s="190"/>
      <c r="AB53" s="173">
        <v>0</v>
      </c>
      <c r="AC53" s="198">
        <v>0</v>
      </c>
      <c r="AD53" s="198">
        <v>0</v>
      </c>
      <c r="AE53" s="178"/>
      <c r="AF53" s="199"/>
      <c r="AG53" s="206">
        <f>VLOOKUP(B:B,[1]Sheet3!$G$1:$H$65536,2,0)</f>
        <v>35</v>
      </c>
      <c r="AH53" s="206">
        <f>VLOOKUP(B:B,[1]Sheet5!$E$1:$F$65536,2,0)</f>
        <v>8</v>
      </c>
      <c r="AI53" s="206">
        <f>VLOOKUP(B:B,[1]Sheet8!$G$1:$H$65536,2,0)</f>
        <v>11</v>
      </c>
      <c r="AJ53" s="206">
        <f t="shared" si="42"/>
        <v>54</v>
      </c>
      <c r="AK53" s="196">
        <f t="shared" si="43"/>
        <v>54</v>
      </c>
      <c r="AL53" s="196">
        <f t="shared" si="44"/>
        <v>54</v>
      </c>
      <c r="AM53" s="196">
        <f>AG53*1+AH53*0.5+AI53*2</f>
        <v>61</v>
      </c>
      <c r="AN53" s="199"/>
      <c r="AO53" s="172">
        <v>0</v>
      </c>
      <c r="AP53" s="172">
        <v>0</v>
      </c>
      <c r="AQ53" s="172">
        <v>0</v>
      </c>
      <c r="AR53" s="172"/>
      <c r="AS53" s="172"/>
      <c r="AT53" s="188">
        <f>VLOOKUP(B:B,[1]Sheet10!$F$1:$G$65536,2,0)</f>
        <v>144.35</v>
      </c>
      <c r="AU53" s="188">
        <f>VLOOKUP(B:B,[1]Sheet12!$G$1:$H$65536,2,0)</f>
        <v>262</v>
      </c>
      <c r="AV53" s="188">
        <f t="shared" si="45"/>
        <v>406.35</v>
      </c>
      <c r="AW53" s="188">
        <f t="shared" si="46"/>
        <v>406.35</v>
      </c>
      <c r="AX53" s="188">
        <f t="shared" si="47"/>
        <v>406.35</v>
      </c>
      <c r="AY53" s="166">
        <f>AT53*0.05+AU53*0.03</f>
        <v>15.077500000000001</v>
      </c>
      <c r="AZ53" s="172"/>
      <c r="BA53" s="190"/>
      <c r="BB53" s="188">
        <f>VLOOKUP(B:B,[1]Sheet14!$G$1:$I$65536,3,0)</f>
        <v>2100.4</v>
      </c>
      <c r="BC53" s="188">
        <v>0</v>
      </c>
      <c r="BD53" s="188">
        <f t="shared" si="48"/>
        <v>2100.4</v>
      </c>
      <c r="BE53" s="188">
        <f t="shared" si="49"/>
        <v>2100.4</v>
      </c>
      <c r="BF53" s="188">
        <f t="shared" si="50"/>
        <v>210.04</v>
      </c>
      <c r="BG53" s="172"/>
      <c r="BH53" s="172">
        <v>0</v>
      </c>
      <c r="BI53" s="172">
        <v>0</v>
      </c>
      <c r="BJ53" s="172">
        <v>0</v>
      </c>
      <c r="BK53" s="172"/>
      <c r="BL53" s="172"/>
      <c r="BM53" s="188">
        <f>VLOOKUP(B:B,[1]Sheet17!$E$1:$F$65536,2,0)</f>
        <v>341.39</v>
      </c>
      <c r="BN53" s="188">
        <f t="shared" si="51"/>
        <v>341.39</v>
      </c>
      <c r="BO53" s="188">
        <f t="shared" si="52"/>
        <v>341.39</v>
      </c>
      <c r="BP53" s="188">
        <f t="shared" si="58"/>
        <v>51.208500000000001</v>
      </c>
      <c r="BQ53" s="172"/>
      <c r="BR53" s="172">
        <v>0</v>
      </c>
      <c r="BS53" s="172">
        <v>0</v>
      </c>
      <c r="BT53" s="172">
        <v>0</v>
      </c>
      <c r="BU53" s="172"/>
      <c r="BV53" s="172"/>
      <c r="BW53" s="188">
        <f>VLOOKUP(B:B,[2]Sheet1!$G$1:$H$65536,2,0)</f>
        <v>2922.58</v>
      </c>
      <c r="BX53" s="188">
        <f t="shared" si="53"/>
        <v>2922.58</v>
      </c>
      <c r="BY53" s="188">
        <f t="shared" si="54"/>
        <v>2922.58</v>
      </c>
      <c r="BZ53" s="166">
        <f>BW53*0.08</f>
        <v>233.8064</v>
      </c>
      <c r="CA53" s="172"/>
      <c r="CB53" s="188">
        <f t="shared" si="55"/>
        <v>609.09410000000003</v>
      </c>
      <c r="CC53" s="218">
        <f>VLOOKUP(B:B,[3]门店完成率!$A:$Y,25,0)</f>
        <v>0.78053204301075296</v>
      </c>
      <c r="CD53" s="188">
        <f>CB53*0.5+CB53*0.5*CC53</f>
        <v>542.25578112939797</v>
      </c>
      <c r="CE53" s="188">
        <f t="shared" ref="CE53:CE84" si="59">ROUND(CD53,2)</f>
        <v>542.26</v>
      </c>
      <c r="CF53" s="188">
        <f t="shared" si="56"/>
        <v>0</v>
      </c>
      <c r="CG53" s="188">
        <f t="shared" ref="CG53:CG76" si="60">ROUND(CF53,2)</f>
        <v>0</v>
      </c>
      <c r="FL53" s="26"/>
      <c r="FM53" s="26"/>
      <c r="FN53" s="26"/>
      <c r="FO53" s="26"/>
      <c r="FP53" s="26"/>
      <c r="FQ53" s="26"/>
      <c r="FR53" s="26"/>
      <c r="FS53" s="26"/>
      <c r="FT53" s="26"/>
      <c r="FU53" s="26"/>
      <c r="FV53" s="26"/>
      <c r="FW53" s="26"/>
      <c r="FX53" s="26"/>
      <c r="FY53" s="26"/>
      <c r="FZ53" s="26"/>
      <c r="GA53" s="26"/>
      <c r="GB53" s="26"/>
      <c r="GC53" s="26"/>
      <c r="GD53" s="26"/>
      <c r="GE53" s="26"/>
      <c r="GF53" s="26"/>
      <c r="GG53" s="26"/>
      <c r="GH53" s="26"/>
      <c r="GI53" s="26"/>
      <c r="GJ53" s="26"/>
      <c r="GK53" s="26"/>
      <c r="GL53" s="26"/>
      <c r="GM53" s="26"/>
      <c r="GN53" s="26"/>
      <c r="GO53" s="26"/>
      <c r="GP53" s="26"/>
      <c r="GQ53" s="26"/>
      <c r="GR53" s="26"/>
      <c r="GS53" s="26"/>
      <c r="GT53" s="26"/>
      <c r="GU53" s="26"/>
      <c r="GV53" s="26"/>
      <c r="GW53" s="26"/>
      <c r="GX53" s="26"/>
      <c r="GY53" s="26"/>
      <c r="GZ53" s="26"/>
      <c r="HA53" s="26"/>
      <c r="HB53" s="26"/>
      <c r="HC53" s="26"/>
      <c r="HD53" s="26"/>
      <c r="HE53" s="26"/>
      <c r="HF53" s="26"/>
      <c r="HG53" s="26"/>
      <c r="HH53" s="26"/>
      <c r="HI53" s="26"/>
      <c r="HJ53" s="26"/>
      <c r="HK53" s="26"/>
      <c r="HL53" s="26"/>
      <c r="HM53" s="26"/>
      <c r="HN53" s="26"/>
      <c r="HO53" s="26"/>
      <c r="HP53" s="26"/>
      <c r="HQ53" s="26"/>
      <c r="HR53" s="26"/>
      <c r="HS53" s="26"/>
      <c r="HT53" s="26"/>
      <c r="HU53" s="26"/>
      <c r="HV53" s="26"/>
      <c r="HW53" s="26"/>
      <c r="HX53" s="26"/>
      <c r="HY53" s="26"/>
      <c r="HZ53" s="26"/>
      <c r="IA53" s="26"/>
      <c r="IB53" s="26"/>
      <c r="IC53" s="26"/>
      <c r="ID53" s="26"/>
      <c r="IE53" s="26"/>
      <c r="IF53" s="26"/>
      <c r="IG53" s="26"/>
    </row>
    <row r="54" spans="1:241" s="3" customFormat="1" ht="12.95" customHeight="1">
      <c r="A54" s="172">
        <v>50</v>
      </c>
      <c r="B54" s="172">
        <v>102478</v>
      </c>
      <c r="C54" s="172" t="s">
        <v>96</v>
      </c>
      <c r="D54" s="172" t="s">
        <v>79</v>
      </c>
      <c r="E54" s="177">
        <v>0</v>
      </c>
      <c r="F54" s="178">
        <v>0</v>
      </c>
      <c r="G54" s="178">
        <v>0</v>
      </c>
      <c r="H54" s="173"/>
      <c r="I54" s="173"/>
      <c r="J54" s="165">
        <v>0</v>
      </c>
      <c r="K54" s="165">
        <v>0</v>
      </c>
      <c r="L54" s="165">
        <v>0</v>
      </c>
      <c r="M54" s="165">
        <v>0</v>
      </c>
      <c r="N54" s="165">
        <f t="shared" si="38"/>
        <v>0</v>
      </c>
      <c r="O54" s="165">
        <f t="shared" si="39"/>
        <v>0</v>
      </c>
      <c r="P54" s="165">
        <f>K54*70+L54*15+M54*40</f>
        <v>0</v>
      </c>
      <c r="Q54" s="165">
        <f>N54*15</f>
        <v>0</v>
      </c>
      <c r="R54" s="190">
        <v>0</v>
      </c>
      <c r="S54" s="11">
        <v>0</v>
      </c>
      <c r="T54" s="11">
        <v>0</v>
      </c>
      <c r="U54" s="11"/>
      <c r="V54" s="190"/>
      <c r="W54" s="188">
        <f>VLOOKUP(B:B,[1]Sheet1!$F$1:$G$65536,2,0)</f>
        <v>201.24</v>
      </c>
      <c r="X54" s="188">
        <f t="shared" si="40"/>
        <v>201.24</v>
      </c>
      <c r="Y54" s="188">
        <f t="shared" si="41"/>
        <v>201.24</v>
      </c>
      <c r="Z54" s="188">
        <f>W54*0.07</f>
        <v>14.0868</v>
      </c>
      <c r="AA54" s="190"/>
      <c r="AB54" s="173">
        <v>0</v>
      </c>
      <c r="AC54" s="198">
        <v>0</v>
      </c>
      <c r="AD54" s="198">
        <v>0</v>
      </c>
      <c r="AE54" s="178"/>
      <c r="AF54" s="199"/>
      <c r="AG54" s="206">
        <f>VLOOKUP(B:B,[1]Sheet3!$G$1:$H$65536,2,0)</f>
        <v>22</v>
      </c>
      <c r="AH54" s="206">
        <f>VLOOKUP(B:B,[1]Sheet5!$E$1:$F$65536,2,0)</f>
        <v>5</v>
      </c>
      <c r="AI54" s="206">
        <f>VLOOKUP(B:B,[1]Sheet8!$G$1:$H$65536,2,0)</f>
        <v>7</v>
      </c>
      <c r="AJ54" s="206">
        <f t="shared" si="42"/>
        <v>34</v>
      </c>
      <c r="AK54" s="196">
        <f t="shared" si="43"/>
        <v>34</v>
      </c>
      <c r="AL54" s="196">
        <f t="shared" si="44"/>
        <v>34</v>
      </c>
      <c r="AM54" s="196">
        <f>AG54*1+AH54*0.5+AI54*2</f>
        <v>38.5</v>
      </c>
      <c r="AN54" s="199"/>
      <c r="AO54" s="172">
        <v>0</v>
      </c>
      <c r="AP54" s="172">
        <v>0</v>
      </c>
      <c r="AQ54" s="172">
        <v>0</v>
      </c>
      <c r="AR54" s="172"/>
      <c r="AS54" s="172"/>
      <c r="AT54" s="188">
        <f>VLOOKUP(B:B,[1]Sheet10!$F$1:$G$65536,2,0)</f>
        <v>26.9</v>
      </c>
      <c r="AU54" s="188">
        <f>VLOOKUP(B:B,[1]Sheet12!$G$1:$H$65536,2,0)</f>
        <v>145.44999999999999</v>
      </c>
      <c r="AV54" s="188">
        <f t="shared" si="45"/>
        <v>172.35</v>
      </c>
      <c r="AW54" s="188">
        <f t="shared" si="46"/>
        <v>172.35</v>
      </c>
      <c r="AX54" s="188">
        <f t="shared" si="47"/>
        <v>172.35</v>
      </c>
      <c r="AY54" s="166">
        <f>AT54*0.05+AU54*0.03</f>
        <v>5.7084999999999999</v>
      </c>
      <c r="AZ54" s="172"/>
      <c r="BA54" s="190"/>
      <c r="BB54" s="188">
        <f>VLOOKUP(B:B,[1]Sheet14!$G$1:$I$65536,3,0)</f>
        <v>1787.14</v>
      </c>
      <c r="BC54" s="188">
        <v>25.74</v>
      </c>
      <c r="BD54" s="188">
        <f t="shared" si="48"/>
        <v>1812.88</v>
      </c>
      <c r="BE54" s="188">
        <f t="shared" si="49"/>
        <v>1812.88</v>
      </c>
      <c r="BF54" s="188">
        <f t="shared" si="50"/>
        <v>179.4862</v>
      </c>
      <c r="BG54" s="172"/>
      <c r="BH54" s="172">
        <v>0</v>
      </c>
      <c r="BI54" s="172">
        <v>0</v>
      </c>
      <c r="BJ54" s="172">
        <v>0</v>
      </c>
      <c r="BK54" s="172"/>
      <c r="BL54" s="172"/>
      <c r="BM54" s="188">
        <f>VLOOKUP(B:B,[1]Sheet17!$E$1:$F$65536,2,0)</f>
        <v>35</v>
      </c>
      <c r="BN54" s="188">
        <f t="shared" si="51"/>
        <v>35</v>
      </c>
      <c r="BO54" s="188">
        <f t="shared" si="52"/>
        <v>35</v>
      </c>
      <c r="BP54" s="188">
        <f t="shared" si="58"/>
        <v>5.25</v>
      </c>
      <c r="BQ54" s="172"/>
      <c r="BR54" s="172">
        <v>0</v>
      </c>
      <c r="BS54" s="172">
        <v>0</v>
      </c>
      <c r="BT54" s="172">
        <v>0</v>
      </c>
      <c r="BU54" s="172"/>
      <c r="BV54" s="172"/>
      <c r="BW54" s="188">
        <f>VLOOKUP(B:B,[2]Sheet1!$G$1:$H$65536,2,0)</f>
        <v>1926.3</v>
      </c>
      <c r="BX54" s="188">
        <f t="shared" si="53"/>
        <v>1926.3</v>
      </c>
      <c r="BY54" s="188">
        <f t="shared" si="54"/>
        <v>1926.3</v>
      </c>
      <c r="BZ54" s="166">
        <f>BW54*0.08</f>
        <v>154.10400000000001</v>
      </c>
      <c r="CA54" s="172"/>
      <c r="CB54" s="188">
        <f t="shared" si="55"/>
        <v>397.13549999999998</v>
      </c>
      <c r="CC54" s="218">
        <f>VLOOKUP(B:B,[3]门店完成率!$A:$Y,25,0)</f>
        <v>0.90770983870967703</v>
      </c>
      <c r="CD54" s="188">
        <f>CB54*0.5+CB54*0.5*CC54</f>
        <v>378.80965032544299</v>
      </c>
      <c r="CE54" s="188">
        <f t="shared" si="59"/>
        <v>378.81</v>
      </c>
      <c r="CF54" s="188">
        <f t="shared" si="56"/>
        <v>0</v>
      </c>
      <c r="CG54" s="188">
        <f t="shared" si="60"/>
        <v>0</v>
      </c>
      <c r="FL54" s="26"/>
      <c r="FM54" s="26"/>
      <c r="FN54" s="26"/>
      <c r="FO54" s="26"/>
      <c r="FP54" s="26"/>
      <c r="FQ54" s="26"/>
      <c r="FR54" s="26"/>
      <c r="FS54" s="26"/>
      <c r="FT54" s="26"/>
      <c r="FU54" s="26"/>
      <c r="FV54" s="26"/>
      <c r="FW54" s="26"/>
      <c r="FX54" s="26"/>
      <c r="FY54" s="26"/>
      <c r="FZ54" s="26"/>
      <c r="GA54" s="26"/>
      <c r="GB54" s="26"/>
      <c r="GC54" s="26"/>
      <c r="GD54" s="26"/>
      <c r="GE54" s="26"/>
      <c r="GF54" s="26"/>
      <c r="GG54" s="26"/>
      <c r="GH54" s="26"/>
      <c r="GI54" s="26"/>
      <c r="GJ54" s="26"/>
      <c r="GK54" s="26"/>
      <c r="GL54" s="26"/>
      <c r="GM54" s="26"/>
      <c r="GN54" s="26"/>
      <c r="GO54" s="26"/>
      <c r="GP54" s="26"/>
      <c r="GQ54" s="26"/>
      <c r="GR54" s="26"/>
      <c r="GS54" s="26"/>
      <c r="GT54" s="26"/>
      <c r="GU54" s="26"/>
      <c r="GV54" s="26"/>
      <c r="GW54" s="26"/>
      <c r="GX54" s="26"/>
      <c r="GY54" s="26"/>
      <c r="GZ54" s="26"/>
      <c r="HA54" s="26"/>
      <c r="HB54" s="26"/>
      <c r="HC54" s="26"/>
      <c r="HD54" s="26"/>
      <c r="HE54" s="26"/>
      <c r="HF54" s="26"/>
      <c r="HG54" s="26"/>
      <c r="HH54" s="26"/>
      <c r="HI54" s="26"/>
      <c r="HJ54" s="26"/>
      <c r="HK54" s="26"/>
      <c r="HL54" s="26"/>
      <c r="HM54" s="26"/>
      <c r="HN54" s="26"/>
      <c r="HO54" s="26"/>
      <c r="HP54" s="26"/>
      <c r="HQ54" s="26"/>
      <c r="HR54" s="26"/>
      <c r="HS54" s="26"/>
      <c r="HT54" s="26"/>
      <c r="HU54" s="26"/>
      <c r="HV54" s="26"/>
      <c r="HW54" s="26"/>
      <c r="HX54" s="26"/>
      <c r="HY54" s="26"/>
      <c r="HZ54" s="26"/>
      <c r="IA54" s="26"/>
      <c r="IB54" s="26"/>
      <c r="IC54" s="26"/>
      <c r="ID54" s="26"/>
      <c r="IE54" s="26"/>
      <c r="IF54" s="26"/>
      <c r="IG54" s="26"/>
    </row>
    <row r="55" spans="1:241" s="3" customFormat="1" ht="12.95" customHeight="1">
      <c r="A55" s="172">
        <v>51</v>
      </c>
      <c r="B55" s="172">
        <v>102935</v>
      </c>
      <c r="C55" s="172" t="s">
        <v>97</v>
      </c>
      <c r="D55" s="172" t="s">
        <v>79</v>
      </c>
      <c r="E55" s="179"/>
      <c r="F55" s="179"/>
      <c r="G55" s="179"/>
      <c r="H55" s="179"/>
      <c r="I55" s="179"/>
      <c r="J55" s="165">
        <v>0</v>
      </c>
      <c r="K55" s="165">
        <v>0</v>
      </c>
      <c r="L55" s="165">
        <v>0</v>
      </c>
      <c r="M55" s="165">
        <v>0</v>
      </c>
      <c r="N55" s="165">
        <f t="shared" si="38"/>
        <v>0</v>
      </c>
      <c r="O55" s="165">
        <f t="shared" si="39"/>
        <v>0</v>
      </c>
      <c r="P55" s="165">
        <f>K55*70+L55*15+M55*40</f>
        <v>0</v>
      </c>
      <c r="Q55" s="165">
        <f>N55*15</f>
        <v>0</v>
      </c>
      <c r="R55" s="179"/>
      <c r="S55" s="179"/>
      <c r="T55" s="179"/>
      <c r="U55" s="179"/>
      <c r="V55" s="179"/>
      <c r="W55" s="188">
        <f>VLOOKUP(B:B,[1]Sheet1!$F$1:$G$65536,2,0)</f>
        <v>684.31</v>
      </c>
      <c r="X55" s="188">
        <f t="shared" si="40"/>
        <v>684.31</v>
      </c>
      <c r="Y55" s="188">
        <f t="shared" si="41"/>
        <v>684.31</v>
      </c>
      <c r="Z55" s="188">
        <f>W55*0.07</f>
        <v>47.901699999999998</v>
      </c>
      <c r="AA55" s="179"/>
      <c r="AB55" s="179"/>
      <c r="AC55" s="179"/>
      <c r="AD55" s="179"/>
      <c r="AE55" s="179"/>
      <c r="AF55" s="179"/>
      <c r="AG55" s="206">
        <f>VLOOKUP(B:B,[1]Sheet3!$G$1:$H$65536,2,0)</f>
        <v>41</v>
      </c>
      <c r="AH55" s="206">
        <f>VLOOKUP(B:B,[1]Sheet5!$E$1:$F$65536,2,0)</f>
        <v>15</v>
      </c>
      <c r="AI55" s="206">
        <f>VLOOKUP(B:B,[1]Sheet8!$G$1:$H$65536,2,0)</f>
        <v>14</v>
      </c>
      <c r="AJ55" s="206">
        <f t="shared" si="42"/>
        <v>70</v>
      </c>
      <c r="AK55" s="196">
        <f t="shared" si="43"/>
        <v>70</v>
      </c>
      <c r="AL55" s="196">
        <f t="shared" si="44"/>
        <v>70</v>
      </c>
      <c r="AM55" s="196">
        <f>AG55*1+AH55*0.5+AI55*2</f>
        <v>76.5</v>
      </c>
      <c r="AN55" s="179"/>
      <c r="AO55" s="172"/>
      <c r="AP55" s="172"/>
      <c r="AQ55" s="172"/>
      <c r="AR55" s="172"/>
      <c r="AS55" s="172"/>
      <c r="AT55" s="188">
        <f>VLOOKUP(B:B,[1]Sheet10!$F$1:$G$65536,2,0)</f>
        <v>313.95</v>
      </c>
      <c r="AU55" s="188">
        <f>VLOOKUP(B:B,[1]Sheet12!$G$1:$H$65536,2,0)</f>
        <v>37</v>
      </c>
      <c r="AV55" s="188">
        <f t="shared" si="45"/>
        <v>350.95</v>
      </c>
      <c r="AW55" s="188">
        <f t="shared" si="46"/>
        <v>350.95</v>
      </c>
      <c r="AX55" s="188">
        <f t="shared" si="47"/>
        <v>350.95</v>
      </c>
      <c r="AY55" s="166">
        <f>AT55*0.05+AU55*0.03</f>
        <v>16.807500000000001</v>
      </c>
      <c r="AZ55" s="172"/>
      <c r="BA55" s="190"/>
      <c r="BB55" s="188">
        <f>VLOOKUP(B:B,[1]Sheet14!$G$1:$I$65536,3,0)</f>
        <v>1687.44</v>
      </c>
      <c r="BC55" s="188">
        <v>0</v>
      </c>
      <c r="BD55" s="188">
        <f t="shared" si="48"/>
        <v>1687.44</v>
      </c>
      <c r="BE55" s="188">
        <f t="shared" si="49"/>
        <v>1687.44</v>
      </c>
      <c r="BF55" s="188">
        <f t="shared" si="50"/>
        <v>168.744</v>
      </c>
      <c r="BG55" s="172"/>
      <c r="BH55" s="172"/>
      <c r="BI55" s="172"/>
      <c r="BJ55" s="172"/>
      <c r="BK55" s="172"/>
      <c r="BL55" s="172"/>
      <c r="BM55" s="188">
        <f>VLOOKUP(B:B,[1]Sheet17!$E$1:$F$65536,2,0)</f>
        <v>171</v>
      </c>
      <c r="BN55" s="188">
        <f t="shared" si="51"/>
        <v>171</v>
      </c>
      <c r="BO55" s="188">
        <f t="shared" si="52"/>
        <v>171</v>
      </c>
      <c r="BP55" s="188">
        <f t="shared" si="58"/>
        <v>25.65</v>
      </c>
      <c r="BQ55" s="172"/>
      <c r="BR55" s="172"/>
      <c r="BS55" s="172"/>
      <c r="BT55" s="172"/>
      <c r="BU55" s="172"/>
      <c r="BV55" s="172"/>
      <c r="BW55" s="188">
        <f>VLOOKUP(B:B,[2]Sheet1!$G$1:$H$65536,2,0)</f>
        <v>5094.1499999999996</v>
      </c>
      <c r="BX55" s="188">
        <f t="shared" si="53"/>
        <v>5094.1499999999996</v>
      </c>
      <c r="BY55" s="188">
        <f t="shared" si="54"/>
        <v>5094.1499999999996</v>
      </c>
      <c r="BZ55" s="166">
        <f>BW55*0.08</f>
        <v>407.53199999999998</v>
      </c>
      <c r="CA55" s="172"/>
      <c r="CB55" s="188">
        <f t="shared" si="55"/>
        <v>743.13520000000005</v>
      </c>
      <c r="CC55" s="218">
        <f>VLOOKUP(B:B,[3]门店完成率!$A:$Y,25,0)</f>
        <v>1.24437828784119</v>
      </c>
      <c r="CD55" s="166">
        <f>CB55</f>
        <v>743.13520000000005</v>
      </c>
      <c r="CE55" s="188">
        <f t="shared" si="59"/>
        <v>743.14</v>
      </c>
      <c r="CF55" s="188">
        <f t="shared" si="56"/>
        <v>0</v>
      </c>
      <c r="CG55" s="188">
        <f t="shared" si="60"/>
        <v>0</v>
      </c>
      <c r="FV55" s="26"/>
      <c r="FW55" s="26"/>
      <c r="FX55" s="26"/>
      <c r="FY55" s="26"/>
      <c r="FZ55" s="26"/>
    </row>
    <row r="56" spans="1:241" s="1" customFormat="1" ht="13.15" customHeight="1">
      <c r="A56" s="170"/>
      <c r="B56" s="170"/>
      <c r="C56" s="170"/>
      <c r="D56" s="170" t="s">
        <v>79</v>
      </c>
      <c r="E56" s="180">
        <f>SUM(E37:E55)</f>
        <v>41</v>
      </c>
      <c r="F56" s="180">
        <f t="shared" ref="F56:AK56" si="61">SUM(F37:F55)</f>
        <v>57</v>
      </c>
      <c r="G56" s="180">
        <f t="shared" si="61"/>
        <v>73</v>
      </c>
      <c r="H56" s="180">
        <f t="shared" si="61"/>
        <v>18</v>
      </c>
      <c r="I56" s="180">
        <f t="shared" si="61"/>
        <v>43</v>
      </c>
      <c r="J56" s="180">
        <f t="shared" si="61"/>
        <v>38</v>
      </c>
      <c r="K56" s="180">
        <f t="shared" si="61"/>
        <v>7</v>
      </c>
      <c r="L56" s="180">
        <f t="shared" si="61"/>
        <v>20</v>
      </c>
      <c r="M56" s="180">
        <f t="shared" si="61"/>
        <v>7.32</v>
      </c>
      <c r="N56" s="180">
        <f t="shared" si="61"/>
        <v>-3</v>
      </c>
      <c r="O56" s="180">
        <f t="shared" si="61"/>
        <v>-5</v>
      </c>
      <c r="P56" s="180">
        <f t="shared" si="61"/>
        <v>1282.8</v>
      </c>
      <c r="Q56" s="180">
        <f t="shared" si="61"/>
        <v>-240</v>
      </c>
      <c r="R56" s="180">
        <f t="shared" si="61"/>
        <v>41074</v>
      </c>
      <c r="S56" s="180">
        <f t="shared" si="61"/>
        <v>45181.4</v>
      </c>
      <c r="T56" s="180">
        <f t="shared" si="61"/>
        <v>49288.800000000003</v>
      </c>
      <c r="U56" s="180">
        <f t="shared" si="61"/>
        <v>29</v>
      </c>
      <c r="V56" s="180">
        <f t="shared" si="61"/>
        <v>45115.3</v>
      </c>
      <c r="W56" s="180">
        <f t="shared" si="61"/>
        <v>50405.9</v>
      </c>
      <c r="X56" s="180">
        <f t="shared" si="61"/>
        <v>9331.9</v>
      </c>
      <c r="Y56" s="180">
        <f t="shared" si="61"/>
        <v>5290.6</v>
      </c>
      <c r="Z56" s="180">
        <f t="shared" si="61"/>
        <v>4211.2785999999996</v>
      </c>
      <c r="AA56" s="180">
        <f t="shared" si="61"/>
        <v>-209.334</v>
      </c>
      <c r="AB56" s="180">
        <f t="shared" si="61"/>
        <v>1966</v>
      </c>
      <c r="AC56" s="180">
        <f t="shared" si="61"/>
        <v>2164</v>
      </c>
      <c r="AD56" s="180">
        <f t="shared" si="61"/>
        <v>2360</v>
      </c>
      <c r="AE56" s="180">
        <f t="shared" si="61"/>
        <v>34</v>
      </c>
      <c r="AF56" s="180">
        <f t="shared" si="61"/>
        <v>2232</v>
      </c>
      <c r="AG56" s="180">
        <f t="shared" si="61"/>
        <v>1218</v>
      </c>
      <c r="AH56" s="180">
        <f t="shared" si="61"/>
        <v>292</v>
      </c>
      <c r="AI56" s="180">
        <f t="shared" si="61"/>
        <v>1636</v>
      </c>
      <c r="AJ56" s="180">
        <f t="shared" si="61"/>
        <v>3146</v>
      </c>
      <c r="AK56" s="180">
        <f t="shared" si="61"/>
        <v>1180</v>
      </c>
      <c r="AL56" s="180">
        <f t="shared" ref="AL56:BQ56" si="62">SUM(AL37:AL55)</f>
        <v>914</v>
      </c>
      <c r="AM56" s="180">
        <f t="shared" si="62"/>
        <v>8076</v>
      </c>
      <c r="AN56" s="180">
        <f t="shared" si="62"/>
        <v>-96</v>
      </c>
      <c r="AO56" s="180">
        <f t="shared" si="62"/>
        <v>10165.5</v>
      </c>
      <c r="AP56" s="180">
        <f t="shared" si="62"/>
        <v>11182.05</v>
      </c>
      <c r="AQ56" s="180">
        <f t="shared" si="62"/>
        <v>12198.6</v>
      </c>
      <c r="AR56" s="180">
        <f t="shared" si="62"/>
        <v>32</v>
      </c>
      <c r="AS56" s="180">
        <f t="shared" si="62"/>
        <v>11008.26</v>
      </c>
      <c r="AT56" s="180">
        <f t="shared" si="62"/>
        <v>7222.69</v>
      </c>
      <c r="AU56" s="180">
        <f t="shared" si="62"/>
        <v>4994.4399999999996</v>
      </c>
      <c r="AV56" s="180">
        <f t="shared" si="62"/>
        <v>12217.13</v>
      </c>
      <c r="AW56" s="180">
        <f t="shared" si="62"/>
        <v>2051.63</v>
      </c>
      <c r="AX56" s="180">
        <f t="shared" si="62"/>
        <v>1208.8699999999999</v>
      </c>
      <c r="AY56" s="180">
        <f t="shared" si="62"/>
        <v>611.94110000000001</v>
      </c>
      <c r="AZ56" s="180">
        <f t="shared" si="62"/>
        <v>-93.642399999999995</v>
      </c>
      <c r="BA56" s="180">
        <f t="shared" si="62"/>
        <v>129472.52</v>
      </c>
      <c r="BB56" s="180">
        <f t="shared" si="62"/>
        <v>151143.72</v>
      </c>
      <c r="BC56" s="180">
        <f t="shared" si="62"/>
        <v>1363.29</v>
      </c>
      <c r="BD56" s="180">
        <f t="shared" si="62"/>
        <v>152507.01</v>
      </c>
      <c r="BE56" s="180">
        <f t="shared" si="62"/>
        <v>23034.49</v>
      </c>
      <c r="BF56" s="180">
        <f t="shared" si="62"/>
        <v>15155.270699999999</v>
      </c>
      <c r="BG56" s="180">
        <f t="shared" si="62"/>
        <v>-677.34899999999902</v>
      </c>
      <c r="BH56" s="180">
        <f t="shared" si="62"/>
        <v>32616</v>
      </c>
      <c r="BI56" s="180">
        <f t="shared" si="62"/>
        <v>35877.599999999999</v>
      </c>
      <c r="BJ56" s="180">
        <f t="shared" si="62"/>
        <v>39139.199999999997</v>
      </c>
      <c r="BK56" s="180">
        <f t="shared" si="62"/>
        <v>26</v>
      </c>
      <c r="BL56" s="180">
        <f t="shared" si="62"/>
        <v>35156.883999999998</v>
      </c>
      <c r="BM56" s="180">
        <f t="shared" si="62"/>
        <v>37402.39</v>
      </c>
      <c r="BN56" s="180">
        <f t="shared" si="62"/>
        <v>4786.3900000000003</v>
      </c>
      <c r="BO56" s="180">
        <f t="shared" si="62"/>
        <v>2245.5059999999999</v>
      </c>
      <c r="BP56" s="180">
        <f t="shared" si="62"/>
        <v>7923.1175000000003</v>
      </c>
      <c r="BQ56" s="180">
        <f t="shared" si="62"/>
        <v>-409.87150000000003</v>
      </c>
      <c r="BR56" s="180">
        <f t="shared" ref="BR56:CG56" si="63">SUM(BR37:BR55)</f>
        <v>266099.40000000002</v>
      </c>
      <c r="BS56" s="180">
        <f t="shared" si="63"/>
        <v>292709.34000000003</v>
      </c>
      <c r="BT56" s="180">
        <f t="shared" si="63"/>
        <v>319319.28000000003</v>
      </c>
      <c r="BU56" s="180">
        <f t="shared" si="63"/>
        <v>37</v>
      </c>
      <c r="BV56" s="180">
        <f t="shared" si="63"/>
        <v>303987.33</v>
      </c>
      <c r="BW56" s="180">
        <f t="shared" si="63"/>
        <v>305483.42</v>
      </c>
      <c r="BX56" s="180">
        <f t="shared" si="63"/>
        <v>39384.019999999997</v>
      </c>
      <c r="BY56" s="180">
        <f t="shared" si="63"/>
        <v>1496.09</v>
      </c>
      <c r="BZ56" s="180">
        <f t="shared" si="63"/>
        <v>30595.7068</v>
      </c>
      <c r="CA56" s="180">
        <f t="shared" si="63"/>
        <v>-697.38599999999997</v>
      </c>
      <c r="CB56" s="180">
        <f t="shared" si="63"/>
        <v>67856.114700000006</v>
      </c>
      <c r="CC56" s="180">
        <f t="shared" si="63"/>
        <v>18.262515327941699</v>
      </c>
      <c r="CD56" s="180">
        <f t="shared" si="63"/>
        <v>66250.166268791407</v>
      </c>
      <c r="CE56" s="180">
        <f t="shared" si="63"/>
        <v>65508.39</v>
      </c>
      <c r="CF56" s="180">
        <f t="shared" si="63"/>
        <v>-2423.5828999999999</v>
      </c>
      <c r="CG56" s="180">
        <f t="shared" si="63"/>
        <v>-2423.58</v>
      </c>
    </row>
    <row r="57" spans="1:241" s="154" customFormat="1" ht="12.95" customHeight="1">
      <c r="A57" s="172">
        <v>52</v>
      </c>
      <c r="B57" s="172">
        <v>545</v>
      </c>
      <c r="C57" s="172" t="s">
        <v>98</v>
      </c>
      <c r="D57" s="172" t="s">
        <v>99</v>
      </c>
      <c r="E57" s="173">
        <v>1</v>
      </c>
      <c r="F57" s="181">
        <v>2</v>
      </c>
      <c r="G57" s="181">
        <v>3</v>
      </c>
      <c r="H57" s="181">
        <v>1</v>
      </c>
      <c r="I57" s="181">
        <v>1</v>
      </c>
      <c r="J57" s="165">
        <v>4</v>
      </c>
      <c r="K57" s="165">
        <f>VLOOKUP(B:B,[5]Sheet1!$I$1:$K$65536,3,0)</f>
        <v>0</v>
      </c>
      <c r="L57" s="165">
        <f>VLOOKUP(B:B,[5]Sheet1!$I$1:$M$65536,5,0)</f>
        <v>4</v>
      </c>
      <c r="M57" s="165">
        <f>VLOOKUP(B:B,[5]Sheet1!$I$1:$N$65536,6,0)</f>
        <v>0</v>
      </c>
      <c r="N57" s="165">
        <f t="shared" si="38"/>
        <v>3</v>
      </c>
      <c r="O57" s="165">
        <f t="shared" si="39"/>
        <v>3</v>
      </c>
      <c r="P57" s="165">
        <f>K57*90+L57*15+M57*40</f>
        <v>60</v>
      </c>
      <c r="Q57" s="165"/>
      <c r="R57" s="193">
        <v>1925</v>
      </c>
      <c r="S57" s="194">
        <v>2117.5</v>
      </c>
      <c r="T57" s="194">
        <v>2310</v>
      </c>
      <c r="U57" s="194">
        <v>2</v>
      </c>
      <c r="V57" s="193">
        <v>2117.5</v>
      </c>
      <c r="W57" s="188">
        <f>VLOOKUP(B:B,[1]Sheet1!$F$1:$G$65536,2,0)</f>
        <v>2645.78</v>
      </c>
      <c r="X57" s="188">
        <f t="shared" si="40"/>
        <v>720.78</v>
      </c>
      <c r="Y57" s="188">
        <f t="shared" si="41"/>
        <v>528.28</v>
      </c>
      <c r="Z57" s="188">
        <f>W57*0.09</f>
        <v>238.12020000000001</v>
      </c>
      <c r="AA57" s="193"/>
      <c r="AB57" s="181">
        <v>49</v>
      </c>
      <c r="AC57" s="203">
        <v>54</v>
      </c>
      <c r="AD57" s="203">
        <v>59</v>
      </c>
      <c r="AE57" s="204">
        <v>2</v>
      </c>
      <c r="AF57" s="205">
        <v>54</v>
      </c>
      <c r="AG57" s="206">
        <f>VLOOKUP(B:B,[1]Sheet3!$G$1:$H$65536,2,0)</f>
        <v>19</v>
      </c>
      <c r="AH57" s="206">
        <f>VLOOKUP(B:B,[1]Sheet5!$E$1:$F$65536,2,0)</f>
        <v>5</v>
      </c>
      <c r="AI57" s="206">
        <f>VLOOKUP(B:B,[1]Sheet8!$G$1:$H$65536,2,0)</f>
        <v>37</v>
      </c>
      <c r="AJ57" s="206">
        <f t="shared" si="42"/>
        <v>61</v>
      </c>
      <c r="AK57" s="196">
        <f t="shared" si="43"/>
        <v>12</v>
      </c>
      <c r="AL57" s="196">
        <f t="shared" si="44"/>
        <v>7</v>
      </c>
      <c r="AM57" s="196">
        <f>AG57*1.5+AH57*1+AI57*3</f>
        <v>144.5</v>
      </c>
      <c r="AN57" s="205"/>
      <c r="AO57" s="172">
        <v>284.39999999999998</v>
      </c>
      <c r="AP57" s="172">
        <v>312.83999999999997</v>
      </c>
      <c r="AQ57" s="172">
        <v>341.28</v>
      </c>
      <c r="AR57" s="172">
        <v>3</v>
      </c>
      <c r="AS57" s="172">
        <v>341.28</v>
      </c>
      <c r="AT57" s="188">
        <f>VLOOKUP(B:B,[1]Sheet10!$F$1:$G$65536,2,0)</f>
        <v>404.3</v>
      </c>
      <c r="AU57" s="188">
        <f>VLOOKUP(B:B,[1]Sheet12!$G$1:$H$65536,2,0)</f>
        <v>111</v>
      </c>
      <c r="AV57" s="188">
        <f t="shared" si="45"/>
        <v>515.29999999999995</v>
      </c>
      <c r="AW57" s="188">
        <f t="shared" si="46"/>
        <v>230.9</v>
      </c>
      <c r="AX57" s="188">
        <f t="shared" si="47"/>
        <v>174.02</v>
      </c>
      <c r="AY57" s="168">
        <f>AT57*0.09+AU57*0.05</f>
        <v>41.936999999999998</v>
      </c>
      <c r="AZ57" s="172"/>
      <c r="BA57" s="193">
        <f>VLOOKUP(B:B,[10]查询时间段分门店销售明细!$B$1:$X$65536,23,0)</f>
        <v>3996.16</v>
      </c>
      <c r="BB57" s="188">
        <f>VLOOKUP(B:B,[1]Sheet14!$G$1:$I$65536,3,0)</f>
        <v>2990.4</v>
      </c>
      <c r="BC57" s="188">
        <v>0</v>
      </c>
      <c r="BD57" s="188">
        <f t="shared" si="48"/>
        <v>2990.4</v>
      </c>
      <c r="BE57" s="188">
        <f t="shared" si="49"/>
        <v>-1005.76</v>
      </c>
      <c r="BF57" s="188">
        <f t="shared" si="50"/>
        <v>299.04000000000002</v>
      </c>
      <c r="BG57" s="210">
        <f>BE57*0.03</f>
        <v>-30.172799999999999</v>
      </c>
      <c r="BH57" s="172">
        <v>770.4</v>
      </c>
      <c r="BI57" s="172">
        <v>847.44</v>
      </c>
      <c r="BJ57" s="172">
        <v>924.48</v>
      </c>
      <c r="BK57" s="172">
        <v>3</v>
      </c>
      <c r="BL57" s="172">
        <v>924.48</v>
      </c>
      <c r="BM57" s="188">
        <f>VLOOKUP(B:B,[1]Sheet17!$E$1:$F$65536,2,0)</f>
        <v>971.92</v>
      </c>
      <c r="BN57" s="188">
        <f t="shared" si="51"/>
        <v>201.52</v>
      </c>
      <c r="BO57" s="188">
        <f t="shared" si="52"/>
        <v>47.439999999999898</v>
      </c>
      <c r="BP57" s="188">
        <f>BM57*0.25</f>
        <v>242.98</v>
      </c>
      <c r="BQ57" s="172"/>
      <c r="BR57" s="172">
        <v>5892.3</v>
      </c>
      <c r="BS57" s="172">
        <v>6481.53</v>
      </c>
      <c r="BT57" s="172">
        <v>7070.76</v>
      </c>
      <c r="BU57" s="172">
        <v>1</v>
      </c>
      <c r="BV57" s="172">
        <v>5892.3</v>
      </c>
      <c r="BW57" s="188">
        <f>VLOOKUP(B:B,[2]Sheet1!$G$1:$H$65536,2,0)</f>
        <v>4908.41</v>
      </c>
      <c r="BX57" s="188">
        <f t="shared" si="53"/>
        <v>-983.89</v>
      </c>
      <c r="BY57" s="188">
        <f t="shared" si="54"/>
        <v>-983.89</v>
      </c>
      <c r="BZ57" s="166">
        <f>BW57*0.08</f>
        <v>392.6728</v>
      </c>
      <c r="CA57" s="174">
        <f>BX57*0.05</f>
        <v>-49.194499999999998</v>
      </c>
      <c r="CB57" s="188">
        <f t="shared" si="55"/>
        <v>1419.25</v>
      </c>
      <c r="CC57" s="218">
        <f>VLOOKUP(B:B,[3]门店完成率!$A:$Y,25,0)</f>
        <v>0.83525037950664105</v>
      </c>
      <c r="CD57" s="188">
        <f>CB57*0.5+CB57*0.5*CC57</f>
        <v>1302.3395505573999</v>
      </c>
      <c r="CE57" s="188">
        <f t="shared" si="59"/>
        <v>1302.3399999999999</v>
      </c>
      <c r="CF57" s="188">
        <f t="shared" si="56"/>
        <v>-79.3673</v>
      </c>
      <c r="CG57" s="188">
        <f t="shared" si="60"/>
        <v>-79.37</v>
      </c>
    </row>
    <row r="58" spans="1:241" s="154" customFormat="1" ht="13.15" customHeight="1">
      <c r="A58" s="172">
        <v>53</v>
      </c>
      <c r="B58" s="172">
        <v>598</v>
      </c>
      <c r="C58" s="172" t="s">
        <v>100</v>
      </c>
      <c r="D58" s="172" t="s">
        <v>99</v>
      </c>
      <c r="E58" s="173">
        <v>2</v>
      </c>
      <c r="F58" s="173">
        <v>3</v>
      </c>
      <c r="G58" s="173">
        <v>4</v>
      </c>
      <c r="H58" s="173">
        <v>1</v>
      </c>
      <c r="I58" s="173">
        <v>2</v>
      </c>
      <c r="J58" s="165">
        <v>0</v>
      </c>
      <c r="K58" s="165">
        <v>0</v>
      </c>
      <c r="L58" s="165">
        <v>0</v>
      </c>
      <c r="M58" s="165">
        <v>0</v>
      </c>
      <c r="N58" s="165">
        <f t="shared" si="38"/>
        <v>-2</v>
      </c>
      <c r="O58" s="165">
        <f t="shared" si="39"/>
        <v>-2</v>
      </c>
      <c r="P58" s="165">
        <f>K58*70+L58*15+M58*40</f>
        <v>0</v>
      </c>
      <c r="Q58" s="165">
        <f>N58*15</f>
        <v>-30</v>
      </c>
      <c r="R58" s="190">
        <v>1373</v>
      </c>
      <c r="S58" s="11">
        <v>1510.3</v>
      </c>
      <c r="T58" s="11">
        <v>1647.6</v>
      </c>
      <c r="U58" s="11">
        <v>1</v>
      </c>
      <c r="V58" s="190">
        <v>1373</v>
      </c>
      <c r="W58" s="188">
        <f>VLOOKUP(B:B,[1]Sheet1!$F$1:$G$65536,2,0)</f>
        <v>2245.48</v>
      </c>
      <c r="X58" s="188">
        <f t="shared" si="40"/>
        <v>872.48</v>
      </c>
      <c r="Y58" s="188">
        <f t="shared" si="41"/>
        <v>872.48</v>
      </c>
      <c r="Z58" s="188">
        <f>W58*0.07</f>
        <v>157.18360000000001</v>
      </c>
      <c r="AA58" s="190"/>
      <c r="AB58" s="173">
        <v>94</v>
      </c>
      <c r="AC58" s="198">
        <v>103</v>
      </c>
      <c r="AD58" s="198">
        <v>113</v>
      </c>
      <c r="AE58" s="178">
        <v>3</v>
      </c>
      <c r="AF58" s="199">
        <v>113</v>
      </c>
      <c r="AG58" s="206">
        <f>VLOOKUP(B:B,[1]Sheet3!$G$1:$H$65536,2,0)</f>
        <v>88</v>
      </c>
      <c r="AH58" s="206">
        <f>VLOOKUP(B:B,[1]Sheet5!$E$1:$F$65536,2,0)</f>
        <v>25</v>
      </c>
      <c r="AI58" s="206">
        <f>VLOOKUP(B:B,[1]Sheet8!$G$1:$H$65536,2,0)</f>
        <v>80</v>
      </c>
      <c r="AJ58" s="206">
        <f t="shared" si="42"/>
        <v>193</v>
      </c>
      <c r="AK58" s="196">
        <f t="shared" si="43"/>
        <v>99</v>
      </c>
      <c r="AL58" s="196">
        <f t="shared" si="44"/>
        <v>80</v>
      </c>
      <c r="AM58" s="196">
        <f>AG58*2.5+AH58*1.5+AI58*4</f>
        <v>577.5</v>
      </c>
      <c r="AN58" s="199"/>
      <c r="AO58" s="172">
        <v>590.4</v>
      </c>
      <c r="AP58" s="172">
        <v>649.44000000000005</v>
      </c>
      <c r="AQ58" s="172">
        <v>708.48</v>
      </c>
      <c r="AR58" s="172">
        <v>2</v>
      </c>
      <c r="AS58" s="172">
        <v>649.44000000000005</v>
      </c>
      <c r="AT58" s="188">
        <f>VLOOKUP(B:B,[1]Sheet10!$F$1:$G$65536,2,0)</f>
        <v>559.54999999999995</v>
      </c>
      <c r="AU58" s="188">
        <f>VLOOKUP(B:B,[1]Sheet12!$G$1:$H$65536,2,0)</f>
        <v>518.78</v>
      </c>
      <c r="AV58" s="188">
        <f t="shared" si="45"/>
        <v>1078.33</v>
      </c>
      <c r="AW58" s="188">
        <f t="shared" si="46"/>
        <v>487.93</v>
      </c>
      <c r="AX58" s="188">
        <f t="shared" si="47"/>
        <v>428.89</v>
      </c>
      <c r="AY58" s="172">
        <f>AT58*0.07+AU58*0.04</f>
        <v>59.919699999999999</v>
      </c>
      <c r="AZ58" s="172"/>
      <c r="BA58" s="190">
        <f>VLOOKUP(B:B,[11]查询时间段分门店销售明细!$B$1:$X$65536,23,0)</f>
        <v>7058.94</v>
      </c>
      <c r="BB58" s="188">
        <f>VLOOKUP(B:B,[1]Sheet14!$G$1:$I$65536,3,0)</f>
        <v>4930.6000000000104</v>
      </c>
      <c r="BC58" s="188">
        <v>56.2</v>
      </c>
      <c r="BD58" s="188">
        <f t="shared" si="48"/>
        <v>4986.8000000000102</v>
      </c>
      <c r="BE58" s="188">
        <f t="shared" si="49"/>
        <v>-2072.1399999999899</v>
      </c>
      <c r="BF58" s="188">
        <f t="shared" si="50"/>
        <v>494.746000000001</v>
      </c>
      <c r="BG58" s="210">
        <f>BE58*0.03</f>
        <v>-62.164199999999703</v>
      </c>
      <c r="BH58" s="172">
        <v>1491.84</v>
      </c>
      <c r="BI58" s="172">
        <v>1641.0239999999999</v>
      </c>
      <c r="BJ58" s="172">
        <v>1790.2080000000001</v>
      </c>
      <c r="BK58" s="172">
        <v>2</v>
      </c>
      <c r="BL58" s="172">
        <v>1641.0239999999999</v>
      </c>
      <c r="BM58" s="188">
        <f>VLOOKUP(B:B,[1]Sheet17!$E$1:$F$65536,2,0)</f>
        <v>1082</v>
      </c>
      <c r="BN58" s="188">
        <f t="shared" si="51"/>
        <v>-409.84</v>
      </c>
      <c r="BO58" s="188">
        <f t="shared" si="52"/>
        <v>-559.024</v>
      </c>
      <c r="BP58" s="188">
        <f>BM58*0.15</f>
        <v>162.30000000000001</v>
      </c>
      <c r="BQ58" s="188">
        <f>BN58*0.05</f>
        <v>-20.492000000000001</v>
      </c>
      <c r="BR58" s="172">
        <v>17755.2</v>
      </c>
      <c r="BS58" s="172">
        <v>19530.72</v>
      </c>
      <c r="BT58" s="172">
        <v>21306.240000000002</v>
      </c>
      <c r="BU58" s="172">
        <v>1</v>
      </c>
      <c r="BV58" s="172">
        <v>17755.2</v>
      </c>
      <c r="BW58" s="188">
        <f>VLOOKUP(B:B,[2]Sheet1!$G$1:$H$65536,2,0)</f>
        <v>16345.79</v>
      </c>
      <c r="BX58" s="188">
        <f t="shared" si="53"/>
        <v>-1409.41</v>
      </c>
      <c r="BY58" s="188">
        <f t="shared" si="54"/>
        <v>-1409.41</v>
      </c>
      <c r="BZ58" s="166">
        <f>BW58*0.08</f>
        <v>1307.6632</v>
      </c>
      <c r="CA58" s="174">
        <f>BX58*0.05</f>
        <v>-70.470500000000001</v>
      </c>
      <c r="CB58" s="188">
        <f t="shared" si="55"/>
        <v>2759.3125</v>
      </c>
      <c r="CC58" s="218">
        <f>VLOOKUP(B:B,[3]门店完成率!$A:$Y,25,0)</f>
        <v>0.87534905123339701</v>
      </c>
      <c r="CD58" s="188">
        <f>CB58*0.5+CB58*0.5*CC58</f>
        <v>2587.33703946573</v>
      </c>
      <c r="CE58" s="188">
        <f t="shared" si="59"/>
        <v>2587.34</v>
      </c>
      <c r="CF58" s="188">
        <f t="shared" si="56"/>
        <v>-183.1267</v>
      </c>
      <c r="CG58" s="188">
        <f t="shared" si="60"/>
        <v>-183.13</v>
      </c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</row>
    <row r="59" spans="1:241" s="154" customFormat="1" ht="13.15" customHeight="1">
      <c r="A59" s="172">
        <v>54</v>
      </c>
      <c r="B59" s="172">
        <v>707</v>
      </c>
      <c r="C59" s="172" t="s">
        <v>101</v>
      </c>
      <c r="D59" s="172" t="s">
        <v>99</v>
      </c>
      <c r="E59" s="181">
        <v>4</v>
      </c>
      <c r="F59" s="181">
        <v>5</v>
      </c>
      <c r="G59" s="181">
        <v>6</v>
      </c>
      <c r="H59" s="181">
        <v>1</v>
      </c>
      <c r="I59" s="181">
        <v>4</v>
      </c>
      <c r="J59" s="165">
        <v>0</v>
      </c>
      <c r="K59" s="165">
        <v>0</v>
      </c>
      <c r="L59" s="165">
        <v>0</v>
      </c>
      <c r="M59" s="165">
        <v>0</v>
      </c>
      <c r="N59" s="165">
        <f t="shared" si="38"/>
        <v>-4</v>
      </c>
      <c r="O59" s="165">
        <f t="shared" si="39"/>
        <v>-4</v>
      </c>
      <c r="P59" s="165">
        <f>K59*70+L59*15+M59*40</f>
        <v>0</v>
      </c>
      <c r="Q59" s="165">
        <f>N59*15</f>
        <v>-60</v>
      </c>
      <c r="R59" s="193">
        <v>2613</v>
      </c>
      <c r="S59" s="194">
        <v>2874.3</v>
      </c>
      <c r="T59" s="194">
        <v>3135.6</v>
      </c>
      <c r="U59" s="194">
        <v>1</v>
      </c>
      <c r="V59" s="193">
        <v>2613</v>
      </c>
      <c r="W59" s="188">
        <f>VLOOKUP(B:B,[1]Sheet1!$F$1:$G$65536,2,0)</f>
        <v>2368.41</v>
      </c>
      <c r="X59" s="188">
        <f t="shared" si="40"/>
        <v>-244.59</v>
      </c>
      <c r="Y59" s="188">
        <f t="shared" si="41"/>
        <v>-244.59</v>
      </c>
      <c r="Z59" s="193"/>
      <c r="AA59" s="197">
        <f t="shared" ref="AA59:AA64" si="64">X59*0.05</f>
        <v>-12.2295</v>
      </c>
      <c r="AB59" s="181">
        <v>140</v>
      </c>
      <c r="AC59" s="203">
        <v>154</v>
      </c>
      <c r="AD59" s="203">
        <v>168</v>
      </c>
      <c r="AE59" s="204">
        <v>3</v>
      </c>
      <c r="AF59" s="205">
        <v>168</v>
      </c>
      <c r="AG59" s="206">
        <f>VLOOKUP(B:B,[1]Sheet3!$G$1:$H$65536,2,0)</f>
        <v>98</v>
      </c>
      <c r="AH59" s="206">
        <f>VLOOKUP(B:B,[1]Sheet5!$E$1:$F$65536,2,0)</f>
        <v>27</v>
      </c>
      <c r="AI59" s="206">
        <f>VLOOKUP(B:B,[1]Sheet8!$G$1:$H$65536,2,0)</f>
        <v>153</v>
      </c>
      <c r="AJ59" s="206">
        <f t="shared" si="42"/>
        <v>278</v>
      </c>
      <c r="AK59" s="196">
        <f t="shared" si="43"/>
        <v>138</v>
      </c>
      <c r="AL59" s="196">
        <f t="shared" si="44"/>
        <v>110</v>
      </c>
      <c r="AM59" s="196">
        <f>AG59*2.5+AH59*1.5+AI59*4</f>
        <v>897.5</v>
      </c>
      <c r="AN59" s="205"/>
      <c r="AO59" s="172">
        <v>890.1</v>
      </c>
      <c r="AP59" s="172">
        <v>979.11</v>
      </c>
      <c r="AQ59" s="172">
        <v>1068.1199999999999</v>
      </c>
      <c r="AR59" s="172">
        <v>3</v>
      </c>
      <c r="AS59" s="172">
        <v>1068.1199999999999</v>
      </c>
      <c r="AT59" s="188">
        <f>VLOOKUP(B:B,[1]Sheet10!$F$1:$G$65536,2,0)</f>
        <v>355.7</v>
      </c>
      <c r="AU59" s="188">
        <f>VLOOKUP(B:B,[1]Sheet12!$G$1:$H$65536,2,0)</f>
        <v>298</v>
      </c>
      <c r="AV59" s="188">
        <f t="shared" si="45"/>
        <v>653.70000000000005</v>
      </c>
      <c r="AW59" s="188">
        <f t="shared" si="46"/>
        <v>-236.4</v>
      </c>
      <c r="AX59" s="188">
        <f t="shared" si="47"/>
        <v>-414.42</v>
      </c>
      <c r="AY59" s="172"/>
      <c r="AZ59" s="188">
        <f>AW59*0.04</f>
        <v>-9.4559999999999995</v>
      </c>
      <c r="BA59" s="193">
        <f>VLOOKUP(B:B,[11]查询时间段分门店销售明细!$B$1:$X$65536,23,0)</f>
        <v>8663.43</v>
      </c>
      <c r="BB59" s="188">
        <f>VLOOKUP(B:B,[1]Sheet14!$G$1:$I$65536,3,0)</f>
        <v>5011.9000000000196</v>
      </c>
      <c r="BC59" s="188">
        <v>2002.92</v>
      </c>
      <c r="BD59" s="188">
        <f t="shared" si="48"/>
        <v>7014.8200000000197</v>
      </c>
      <c r="BE59" s="188">
        <f t="shared" si="49"/>
        <v>-1648.6099999999799</v>
      </c>
      <c r="BF59" s="188">
        <f t="shared" si="50"/>
        <v>561.27760000000205</v>
      </c>
      <c r="BG59" s="210">
        <f>BE59*0.03</f>
        <v>-49.458299999999397</v>
      </c>
      <c r="BH59" s="172">
        <v>2566.08</v>
      </c>
      <c r="BI59" s="172">
        <v>2822.6880000000001</v>
      </c>
      <c r="BJ59" s="172">
        <v>3079.2959999999998</v>
      </c>
      <c r="BK59" s="172">
        <v>1</v>
      </c>
      <c r="BL59" s="172">
        <v>2566.08</v>
      </c>
      <c r="BM59" s="188">
        <f>VLOOKUP(B:B,[1]Sheet17!$E$1:$F$65536,2,0)</f>
        <v>1184.92</v>
      </c>
      <c r="BN59" s="188">
        <f t="shared" si="51"/>
        <v>-1381.16</v>
      </c>
      <c r="BO59" s="188">
        <f t="shared" si="52"/>
        <v>-1381.16</v>
      </c>
      <c r="BP59" s="188">
        <f>BM59*0.15</f>
        <v>177.738</v>
      </c>
      <c r="BQ59" s="188">
        <f>BN59*0.05</f>
        <v>-69.058000000000007</v>
      </c>
      <c r="BR59" s="172">
        <v>21058.2</v>
      </c>
      <c r="BS59" s="172">
        <v>23164.02</v>
      </c>
      <c r="BT59" s="172">
        <v>25269.84</v>
      </c>
      <c r="BU59" s="172">
        <v>2</v>
      </c>
      <c r="BV59" s="172">
        <v>23164.02</v>
      </c>
      <c r="BW59" s="188">
        <f>VLOOKUP(B:B,[2]Sheet1!$G$1:$H$65536,2,0)</f>
        <v>21748.15</v>
      </c>
      <c r="BX59" s="188">
        <f t="shared" si="53"/>
        <v>689.95000000000095</v>
      </c>
      <c r="BY59" s="188">
        <f t="shared" si="54"/>
        <v>-1415.87</v>
      </c>
      <c r="BZ59" s="166">
        <f>BW59*0.08</f>
        <v>1739.8520000000001</v>
      </c>
      <c r="CA59" s="174"/>
      <c r="CB59" s="188">
        <f t="shared" si="55"/>
        <v>3376.3676</v>
      </c>
      <c r="CC59" s="218">
        <f>VLOOKUP(B:B,[3]门店完成率!$A:$Y,25,0)</f>
        <v>1.1559297419354799</v>
      </c>
      <c r="CD59" s="166">
        <f>CB59</f>
        <v>3376.3676</v>
      </c>
      <c r="CE59" s="188">
        <f t="shared" si="59"/>
        <v>3376.37</v>
      </c>
      <c r="CF59" s="188">
        <f t="shared" si="56"/>
        <v>-200.201799999999</v>
      </c>
      <c r="CG59" s="188">
        <f t="shared" si="60"/>
        <v>-200.2</v>
      </c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</row>
    <row r="60" spans="1:241" s="154" customFormat="1" ht="13.15" customHeight="1">
      <c r="A60" s="172">
        <v>55</v>
      </c>
      <c r="B60" s="172">
        <v>712</v>
      </c>
      <c r="C60" s="172" t="s">
        <v>102</v>
      </c>
      <c r="D60" s="172" t="s">
        <v>99</v>
      </c>
      <c r="E60" s="173">
        <v>4</v>
      </c>
      <c r="F60" s="181">
        <v>5</v>
      </c>
      <c r="G60" s="181">
        <v>6</v>
      </c>
      <c r="H60" s="181">
        <v>2</v>
      </c>
      <c r="I60" s="181">
        <v>5</v>
      </c>
      <c r="J60" s="165">
        <v>2</v>
      </c>
      <c r="K60" s="165">
        <f>VLOOKUP(B:B,[5]Sheet1!$I$1:$K$65536,3,0)</f>
        <v>0</v>
      </c>
      <c r="L60" s="165">
        <f>VLOOKUP(B:B,[5]Sheet1!$I$1:$M$65536,5,0)</f>
        <v>2</v>
      </c>
      <c r="M60" s="165">
        <f>VLOOKUP(B:B,[5]Sheet1!$I$1:$N$65536,6,0)</f>
        <v>0</v>
      </c>
      <c r="N60" s="165">
        <f t="shared" si="38"/>
        <v>-2</v>
      </c>
      <c r="O60" s="165">
        <f t="shared" si="39"/>
        <v>-3</v>
      </c>
      <c r="P60" s="165">
        <f>K60*70+L60*15+M60*40</f>
        <v>30</v>
      </c>
      <c r="Q60" s="165">
        <f>N60*15</f>
        <v>-30</v>
      </c>
      <c r="R60" s="193">
        <v>6467</v>
      </c>
      <c r="S60" s="194">
        <v>7113.7</v>
      </c>
      <c r="T60" s="194">
        <v>7760.4</v>
      </c>
      <c r="U60" s="194">
        <v>1</v>
      </c>
      <c r="V60" s="193">
        <v>6467</v>
      </c>
      <c r="W60" s="188">
        <f>VLOOKUP(B:B,[1]Sheet1!$F$1:$G$65536,2,0)</f>
        <v>5449.46</v>
      </c>
      <c r="X60" s="188">
        <f t="shared" si="40"/>
        <v>-1017.54</v>
      </c>
      <c r="Y60" s="188">
        <f t="shared" si="41"/>
        <v>-1017.54</v>
      </c>
      <c r="Z60" s="193"/>
      <c r="AA60" s="197">
        <f t="shared" si="64"/>
        <v>-50.877000000000002</v>
      </c>
      <c r="AB60" s="181">
        <v>243</v>
      </c>
      <c r="AC60" s="203">
        <v>267</v>
      </c>
      <c r="AD60" s="203">
        <v>292</v>
      </c>
      <c r="AE60" s="204">
        <v>3</v>
      </c>
      <c r="AF60" s="205">
        <v>292</v>
      </c>
      <c r="AG60" s="206">
        <f>VLOOKUP(B:B,[1]Sheet3!$G$1:$H$65536,2,0)</f>
        <v>111</v>
      </c>
      <c r="AH60" s="206">
        <f>VLOOKUP(B:B,[1]Sheet5!$E$1:$F$65536,2,0)</f>
        <v>55</v>
      </c>
      <c r="AI60" s="206">
        <f>VLOOKUP(B:B,[1]Sheet8!$G$1:$H$65536,2,0)</f>
        <v>312</v>
      </c>
      <c r="AJ60" s="206">
        <f t="shared" si="42"/>
        <v>478</v>
      </c>
      <c r="AK60" s="196">
        <f t="shared" si="43"/>
        <v>235</v>
      </c>
      <c r="AL60" s="196">
        <f t="shared" si="44"/>
        <v>186</v>
      </c>
      <c r="AM60" s="196">
        <f>AG60*2.5+AH60*1.5+AI60*4</f>
        <v>1608</v>
      </c>
      <c r="AN60" s="205"/>
      <c r="AO60" s="172">
        <v>981.9</v>
      </c>
      <c r="AP60" s="172">
        <v>1080.0899999999999</v>
      </c>
      <c r="AQ60" s="172">
        <v>1178.28</v>
      </c>
      <c r="AR60" s="172">
        <v>3</v>
      </c>
      <c r="AS60" s="172">
        <v>1178.28</v>
      </c>
      <c r="AT60" s="188">
        <f>VLOOKUP(B:B,[1]Sheet10!$F$1:$G$65536,2,0)</f>
        <v>520.79999999999995</v>
      </c>
      <c r="AU60" s="188">
        <f>VLOOKUP(B:B,[1]Sheet12!$G$1:$H$65536,2,0)</f>
        <v>463</v>
      </c>
      <c r="AV60" s="188">
        <f t="shared" si="45"/>
        <v>983.8</v>
      </c>
      <c r="AW60" s="188">
        <f t="shared" si="46"/>
        <v>1.8999999999999799</v>
      </c>
      <c r="AX60" s="188">
        <f t="shared" si="47"/>
        <v>-194.48</v>
      </c>
      <c r="AY60" s="172"/>
      <c r="AZ60" s="172"/>
      <c r="BA60" s="193">
        <f>VLOOKUP(B:B,[10]查询时间段分门店销售明细!$B$1:$X$65536,23,0)</f>
        <v>16619.099999999999</v>
      </c>
      <c r="BB60" s="188">
        <f>VLOOKUP(B:B,[1]Sheet14!$G$1:$I$65536,3,0)</f>
        <v>18890.8299999999</v>
      </c>
      <c r="BC60" s="188">
        <v>26.14</v>
      </c>
      <c r="BD60" s="188">
        <f t="shared" si="48"/>
        <v>18916.969999999899</v>
      </c>
      <c r="BE60" s="188">
        <f t="shared" si="49"/>
        <v>2297.8699999998998</v>
      </c>
      <c r="BF60" s="188">
        <f t="shared" si="50"/>
        <v>1889.8671999999899</v>
      </c>
      <c r="BG60" s="172"/>
      <c r="BH60" s="172">
        <v>3008.16</v>
      </c>
      <c r="BI60" s="172">
        <v>3308.9760000000001</v>
      </c>
      <c r="BJ60" s="172">
        <v>3609.7919999999999</v>
      </c>
      <c r="BK60" s="172">
        <v>3</v>
      </c>
      <c r="BL60" s="172">
        <v>3609.79</v>
      </c>
      <c r="BM60" s="188">
        <f>VLOOKUP(B:B,[1]Sheet17!$E$1:$F$65536,2,0)</f>
        <v>5982.37</v>
      </c>
      <c r="BN60" s="188">
        <f t="shared" si="51"/>
        <v>2974.21</v>
      </c>
      <c r="BO60" s="188">
        <f t="shared" si="52"/>
        <v>2372.58</v>
      </c>
      <c r="BP60" s="188">
        <f>BM60*0.25</f>
        <v>1495.5925</v>
      </c>
      <c r="BQ60" s="172"/>
      <c r="BR60" s="172">
        <v>30089.7</v>
      </c>
      <c r="BS60" s="172">
        <v>33098.67</v>
      </c>
      <c r="BT60" s="172">
        <v>36107.64</v>
      </c>
      <c r="BU60" s="172">
        <v>2</v>
      </c>
      <c r="BV60" s="172">
        <v>33098.67</v>
      </c>
      <c r="BW60" s="188">
        <f>VLOOKUP(B:B,[2]Sheet1!$G$1:$H$65536,2,0)</f>
        <v>32108.82</v>
      </c>
      <c r="BX60" s="188">
        <f t="shared" si="53"/>
        <v>2019.12</v>
      </c>
      <c r="BY60" s="188">
        <f t="shared" si="54"/>
        <v>-989.849999999999</v>
      </c>
      <c r="BZ60" s="166">
        <f>BW60*0.08</f>
        <v>2568.7055999999998</v>
      </c>
      <c r="CA60" s="172"/>
      <c r="CB60" s="188">
        <f t="shared" si="55"/>
        <v>7592.1652999999897</v>
      </c>
      <c r="CC60" s="218">
        <f>VLOOKUP(B:B,[3]门店完成率!$A:$Y,25,0)</f>
        <v>1.0115998655914</v>
      </c>
      <c r="CD60" s="166">
        <f>CB60</f>
        <v>7592.1652999999897</v>
      </c>
      <c r="CE60" s="188">
        <f t="shared" si="59"/>
        <v>7592.17</v>
      </c>
      <c r="CF60" s="188">
        <f t="shared" si="56"/>
        <v>-80.876999999999995</v>
      </c>
      <c r="CG60" s="188">
        <f t="shared" si="60"/>
        <v>-80.88</v>
      </c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</row>
    <row r="61" spans="1:241" s="154" customFormat="1" ht="13.15" customHeight="1">
      <c r="A61" s="172">
        <v>56</v>
      </c>
      <c r="B61" s="172">
        <v>724</v>
      </c>
      <c r="C61" s="172" t="s">
        <v>103</v>
      </c>
      <c r="D61" s="172" t="s">
        <v>99</v>
      </c>
      <c r="E61" s="181">
        <v>3</v>
      </c>
      <c r="F61" s="181">
        <v>4</v>
      </c>
      <c r="G61" s="181">
        <v>5</v>
      </c>
      <c r="H61" s="181">
        <v>1</v>
      </c>
      <c r="I61" s="181">
        <v>3</v>
      </c>
      <c r="J61" s="165">
        <v>0</v>
      </c>
      <c r="K61" s="165">
        <v>0</v>
      </c>
      <c r="L61" s="165">
        <v>0</v>
      </c>
      <c r="M61" s="165">
        <v>0</v>
      </c>
      <c r="N61" s="165">
        <f t="shared" si="38"/>
        <v>-3</v>
      </c>
      <c r="O61" s="165">
        <f t="shared" si="39"/>
        <v>-3</v>
      </c>
      <c r="P61" s="165">
        <f>K61*70+L61*15+M61*40</f>
        <v>0</v>
      </c>
      <c r="Q61" s="165">
        <f>N61*15</f>
        <v>-45</v>
      </c>
      <c r="R61" s="193">
        <v>2571</v>
      </c>
      <c r="S61" s="194">
        <v>2828.1</v>
      </c>
      <c r="T61" s="194">
        <v>3085.2</v>
      </c>
      <c r="U61" s="194">
        <v>1</v>
      </c>
      <c r="V61" s="193">
        <v>2571</v>
      </c>
      <c r="W61" s="188">
        <f>VLOOKUP(B:B,[1]Sheet1!$F$1:$G$65536,2,0)</f>
        <v>1351.62</v>
      </c>
      <c r="X61" s="188">
        <f t="shared" si="40"/>
        <v>-1219.3800000000001</v>
      </c>
      <c r="Y61" s="188">
        <f t="shared" si="41"/>
        <v>-1219.3800000000001</v>
      </c>
      <c r="Z61" s="193"/>
      <c r="AA61" s="197">
        <f t="shared" si="64"/>
        <v>-60.969000000000001</v>
      </c>
      <c r="AB61" s="181">
        <v>141</v>
      </c>
      <c r="AC61" s="203">
        <v>155</v>
      </c>
      <c r="AD61" s="203">
        <v>169</v>
      </c>
      <c r="AE61" s="204">
        <v>3</v>
      </c>
      <c r="AF61" s="205">
        <v>169</v>
      </c>
      <c r="AG61" s="206">
        <f>VLOOKUP(B:B,[1]Sheet3!$G$1:$H$65536,2,0)</f>
        <v>125</v>
      </c>
      <c r="AH61" s="206">
        <f>VLOOKUP(B:B,[1]Sheet5!$E$1:$F$65536,2,0)</f>
        <v>26</v>
      </c>
      <c r="AI61" s="206">
        <f>VLOOKUP(B:B,[1]Sheet8!$G$1:$H$65536,2,0)</f>
        <v>37</v>
      </c>
      <c r="AJ61" s="206">
        <f t="shared" si="42"/>
        <v>188</v>
      </c>
      <c r="AK61" s="196">
        <f t="shared" si="43"/>
        <v>47</v>
      </c>
      <c r="AL61" s="196">
        <f t="shared" si="44"/>
        <v>19</v>
      </c>
      <c r="AM61" s="196">
        <f>AG61*2.5+AH61*1.5+AI61*4</f>
        <v>499.5</v>
      </c>
      <c r="AN61" s="205"/>
      <c r="AO61" s="172">
        <v>828</v>
      </c>
      <c r="AP61" s="172">
        <v>910.8</v>
      </c>
      <c r="AQ61" s="172">
        <v>993.6</v>
      </c>
      <c r="AR61" s="172">
        <v>1</v>
      </c>
      <c r="AS61" s="172">
        <v>828</v>
      </c>
      <c r="AT61" s="188">
        <f>VLOOKUP(B:B,[1]Sheet10!$F$1:$G$65536,2,0)</f>
        <v>390.85</v>
      </c>
      <c r="AU61" s="188">
        <f>VLOOKUP(B:B,[1]Sheet12!$G$1:$H$65536,2,0)</f>
        <v>438.5</v>
      </c>
      <c r="AV61" s="188">
        <f t="shared" si="45"/>
        <v>829.35</v>
      </c>
      <c r="AW61" s="188">
        <f t="shared" si="46"/>
        <v>1.3500000000000201</v>
      </c>
      <c r="AX61" s="188">
        <f t="shared" si="47"/>
        <v>1.3500000000000201</v>
      </c>
      <c r="AY61" s="166">
        <f>AT61*0.05+AU61*0.03</f>
        <v>32.697499999999998</v>
      </c>
      <c r="AZ61" s="172"/>
      <c r="BA61" s="193">
        <f>VLOOKUP(B:B,[11]查询时间段分门店销售明细!$B$1:$X$65536,23,0)</f>
        <v>6023.44</v>
      </c>
      <c r="BB61" s="188">
        <f>VLOOKUP(B:B,[1]Sheet14!$G$1:$I$65536,3,0)</f>
        <v>7611.3900000000303</v>
      </c>
      <c r="BC61" s="188">
        <v>165.31</v>
      </c>
      <c r="BD61" s="188">
        <f t="shared" si="48"/>
        <v>7776.7000000000298</v>
      </c>
      <c r="BE61" s="188">
        <f t="shared" si="49"/>
        <v>1753.26000000003</v>
      </c>
      <c r="BF61" s="188">
        <f t="shared" si="50"/>
        <v>766.09830000000295</v>
      </c>
      <c r="BG61" s="172"/>
      <c r="BH61" s="172">
        <v>2306.16</v>
      </c>
      <c r="BI61" s="172">
        <v>2536.7759999999998</v>
      </c>
      <c r="BJ61" s="172">
        <v>2767.3919999999998</v>
      </c>
      <c r="BK61" s="172">
        <v>1</v>
      </c>
      <c r="BL61" s="172">
        <v>2306.16</v>
      </c>
      <c r="BM61" s="188">
        <f>VLOOKUP(B:B,[1]Sheet17!$E$1:$F$65536,2,0)</f>
        <v>537</v>
      </c>
      <c r="BN61" s="188">
        <f t="shared" si="51"/>
        <v>-1769.16</v>
      </c>
      <c r="BO61" s="188">
        <f t="shared" si="52"/>
        <v>-1769.16</v>
      </c>
      <c r="BP61" s="188">
        <f t="shared" ref="BP61:BP66" si="65">BM61*0.15</f>
        <v>80.55</v>
      </c>
      <c r="BQ61" s="188">
        <f t="shared" ref="BQ61:BQ66" si="66">BN61*0.05</f>
        <v>-88.457999999999998</v>
      </c>
      <c r="BR61" s="172">
        <v>18337.5</v>
      </c>
      <c r="BS61" s="172">
        <v>20171.25</v>
      </c>
      <c r="BT61" s="172">
        <v>22005</v>
      </c>
      <c r="BU61" s="172">
        <v>2</v>
      </c>
      <c r="BV61" s="172">
        <v>20171.25</v>
      </c>
      <c r="BW61" s="188">
        <f>VLOOKUP(B:B,[2]Sheet1!$G$1:$H$65536,2,0)</f>
        <v>22357.5</v>
      </c>
      <c r="BX61" s="188">
        <f t="shared" si="53"/>
        <v>4020</v>
      </c>
      <c r="BY61" s="188">
        <f t="shared" si="54"/>
        <v>2186.25</v>
      </c>
      <c r="BZ61" s="188">
        <f>BW61*0.1</f>
        <v>2235.75</v>
      </c>
      <c r="CA61" s="172"/>
      <c r="CB61" s="188">
        <f t="shared" si="55"/>
        <v>3614.5958000000001</v>
      </c>
      <c r="CC61" s="218">
        <f>VLOOKUP(B:B,[3]门店完成率!$A:$Y,25,0)</f>
        <v>0.95177693548387099</v>
      </c>
      <c r="CD61" s="188">
        <f>CB61*0.5+CB61*0.5*CC61</f>
        <v>3527.4423567684398</v>
      </c>
      <c r="CE61" s="188">
        <f t="shared" si="59"/>
        <v>3527.44</v>
      </c>
      <c r="CF61" s="188">
        <f t="shared" si="56"/>
        <v>-194.42699999999999</v>
      </c>
      <c r="CG61" s="188">
        <f t="shared" si="60"/>
        <v>-194.43</v>
      </c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</row>
    <row r="62" spans="1:241" s="154" customFormat="1" ht="13.15" customHeight="1">
      <c r="A62" s="172">
        <v>57</v>
      </c>
      <c r="B62" s="182">
        <v>740</v>
      </c>
      <c r="C62" s="182" t="s">
        <v>104</v>
      </c>
      <c r="D62" s="182" t="s">
        <v>99</v>
      </c>
      <c r="E62" s="181">
        <v>1</v>
      </c>
      <c r="F62" s="181">
        <v>2</v>
      </c>
      <c r="G62" s="181">
        <v>3</v>
      </c>
      <c r="H62" s="181">
        <v>1</v>
      </c>
      <c r="I62" s="181">
        <v>1</v>
      </c>
      <c r="J62" s="165">
        <v>1</v>
      </c>
      <c r="K62" s="165">
        <f>VLOOKUP(B:B,[5]Sheet1!$I$1:$K$65536,3,0)</f>
        <v>1</v>
      </c>
      <c r="L62" s="165">
        <f>VLOOKUP(B:B,[5]Sheet1!$I$1:$M$65536,5,0)</f>
        <v>0</v>
      </c>
      <c r="M62" s="165">
        <f>VLOOKUP(B:B,[5]Sheet1!$I$1:$N$65536,6,0)</f>
        <v>0</v>
      </c>
      <c r="N62" s="165">
        <f t="shared" si="38"/>
        <v>0</v>
      </c>
      <c r="O62" s="165">
        <f t="shared" si="39"/>
        <v>0</v>
      </c>
      <c r="P62" s="165">
        <f>K62*90+L62*15+M62*40</f>
        <v>90</v>
      </c>
      <c r="Q62" s="165"/>
      <c r="R62" s="193">
        <v>2198</v>
      </c>
      <c r="S62" s="194">
        <v>2417.8000000000002</v>
      </c>
      <c r="T62" s="194">
        <v>2637.6</v>
      </c>
      <c r="U62" s="194">
        <v>2</v>
      </c>
      <c r="V62" s="193">
        <v>2417.8000000000002</v>
      </c>
      <c r="W62" s="188">
        <f>VLOOKUP(B:B,[1]Sheet1!$F$1:$G$65536,2,0)</f>
        <v>2088.35</v>
      </c>
      <c r="X62" s="188">
        <f t="shared" si="40"/>
        <v>-109.65</v>
      </c>
      <c r="Y62" s="188">
        <f t="shared" si="41"/>
        <v>-329.45</v>
      </c>
      <c r="Z62" s="193"/>
      <c r="AA62" s="197">
        <f t="shared" si="64"/>
        <v>-5.4825000000000097</v>
      </c>
      <c r="AB62" s="181">
        <v>54</v>
      </c>
      <c r="AC62" s="203">
        <v>59</v>
      </c>
      <c r="AD62" s="203">
        <v>65</v>
      </c>
      <c r="AE62" s="204">
        <v>1</v>
      </c>
      <c r="AF62" s="205">
        <v>54</v>
      </c>
      <c r="AG62" s="206">
        <f>VLOOKUP(B:B,[1]Sheet3!$G$1:$H$65536,2,0)</f>
        <v>27</v>
      </c>
      <c r="AH62" s="206">
        <f>VLOOKUP(B:B,[1]Sheet5!$E$1:$F$65536,2,0)</f>
        <v>10</v>
      </c>
      <c r="AI62" s="206">
        <f>VLOOKUP(B:B,[1]Sheet8!$G$1:$H$65536,2,0)</f>
        <v>31</v>
      </c>
      <c r="AJ62" s="206">
        <f t="shared" si="42"/>
        <v>68</v>
      </c>
      <c r="AK62" s="196">
        <f t="shared" si="43"/>
        <v>14</v>
      </c>
      <c r="AL62" s="196">
        <f t="shared" si="44"/>
        <v>14</v>
      </c>
      <c r="AM62" s="196">
        <f>AG62*1+AH62*0.5+AI62*2</f>
        <v>94</v>
      </c>
      <c r="AN62" s="205"/>
      <c r="AO62" s="182">
        <v>324.89999999999998</v>
      </c>
      <c r="AP62" s="182">
        <v>357.39</v>
      </c>
      <c r="AQ62" s="182">
        <v>389.88</v>
      </c>
      <c r="AR62" s="182">
        <v>1</v>
      </c>
      <c r="AS62" s="182">
        <v>324.89999999999998</v>
      </c>
      <c r="AT62" s="188">
        <f>VLOOKUP(B:B,[1]Sheet10!$F$1:$G$65536,2,0)</f>
        <v>181.5</v>
      </c>
      <c r="AU62" s="188">
        <f>VLOOKUP(B:B,[1]Sheet12!$G$1:$H$65536,2,0)</f>
        <v>149.80000000000001</v>
      </c>
      <c r="AV62" s="188">
        <f t="shared" si="45"/>
        <v>331.3</v>
      </c>
      <c r="AW62" s="188">
        <f t="shared" si="46"/>
        <v>6.4000000000000297</v>
      </c>
      <c r="AX62" s="188">
        <f t="shared" si="47"/>
        <v>6.4000000000000297</v>
      </c>
      <c r="AY62" s="166">
        <f>AT62*0.05+AU62*0.03</f>
        <v>13.569000000000001</v>
      </c>
      <c r="AZ62" s="182"/>
      <c r="BA62" s="193">
        <f>VLOOKUP(B:B,[11]查询时间段分门店销售明细!$B$1:$X$65536,23,0)</f>
        <v>2438.5500000000002</v>
      </c>
      <c r="BB62" s="188">
        <f>VLOOKUP(B:B,[1]Sheet14!$G$1:$I$65536,3,0)</f>
        <v>3132.65</v>
      </c>
      <c r="BC62" s="188">
        <v>0</v>
      </c>
      <c r="BD62" s="188">
        <f t="shared" si="48"/>
        <v>3132.65</v>
      </c>
      <c r="BE62" s="188">
        <f t="shared" si="49"/>
        <v>694.1</v>
      </c>
      <c r="BF62" s="188">
        <f t="shared" si="50"/>
        <v>313.26499999999999</v>
      </c>
      <c r="BG62" s="172"/>
      <c r="BH62" s="182">
        <v>956.16</v>
      </c>
      <c r="BI62" s="182">
        <v>1051.7760000000001</v>
      </c>
      <c r="BJ62" s="182">
        <v>1147.3920000000001</v>
      </c>
      <c r="BK62" s="182">
        <v>1</v>
      </c>
      <c r="BL62" s="182">
        <v>956.16</v>
      </c>
      <c r="BM62" s="188">
        <f>VLOOKUP(B:B,[1]Sheet17!$E$1:$F$65536,2,0)</f>
        <v>704.5</v>
      </c>
      <c r="BN62" s="188">
        <f t="shared" si="51"/>
        <v>-251.66</v>
      </c>
      <c r="BO62" s="188">
        <f t="shared" si="52"/>
        <v>-251.66</v>
      </c>
      <c r="BP62" s="188">
        <f t="shared" si="65"/>
        <v>105.675</v>
      </c>
      <c r="BQ62" s="188">
        <f t="shared" si="66"/>
        <v>-12.583</v>
      </c>
      <c r="BR62" s="182">
        <v>7321.5</v>
      </c>
      <c r="BS62" s="182">
        <v>8053.65</v>
      </c>
      <c r="BT62" s="182">
        <v>8785.7999999999993</v>
      </c>
      <c r="BU62" s="182">
        <v>1</v>
      </c>
      <c r="BV62" s="182">
        <v>7321.5</v>
      </c>
      <c r="BW62" s="188">
        <f>VLOOKUP(B:B,[2]Sheet1!$G$1:$H$65536,2,0)</f>
        <v>8128.56</v>
      </c>
      <c r="BX62" s="188">
        <f t="shared" si="53"/>
        <v>807.06</v>
      </c>
      <c r="BY62" s="188">
        <f t="shared" si="54"/>
        <v>807.06</v>
      </c>
      <c r="BZ62" s="166">
        <f>BW62*0.08</f>
        <v>650.28480000000002</v>
      </c>
      <c r="CA62" s="182"/>
      <c r="CB62" s="188">
        <f t="shared" si="55"/>
        <v>1266.7937999999999</v>
      </c>
      <c r="CC62" s="218">
        <f>VLOOKUP(B:B,[3]门店完成率!$A:$Y,25,0)</f>
        <v>1.02329886148008</v>
      </c>
      <c r="CD62" s="166">
        <f>CB62</f>
        <v>1266.7937999999999</v>
      </c>
      <c r="CE62" s="188">
        <f t="shared" si="59"/>
        <v>1266.79</v>
      </c>
      <c r="CF62" s="188">
        <f t="shared" si="56"/>
        <v>-18.0655</v>
      </c>
      <c r="CG62" s="188">
        <f t="shared" si="60"/>
        <v>-18.07</v>
      </c>
      <c r="CH62" s="224"/>
      <c r="CI62" s="224"/>
      <c r="CJ62" s="224"/>
      <c r="CK62" s="224"/>
      <c r="CL62" s="224"/>
      <c r="CM62" s="224"/>
      <c r="CN62" s="224"/>
      <c r="CO62" s="224"/>
      <c r="CP62" s="224"/>
      <c r="CQ62" s="224"/>
      <c r="CR62" s="224"/>
      <c r="CS62" s="224"/>
      <c r="CT62" s="224"/>
      <c r="CU62" s="224"/>
      <c r="CV62" s="224"/>
      <c r="CW62" s="224"/>
      <c r="CX62" s="224"/>
      <c r="CY62" s="224"/>
      <c r="CZ62" s="224"/>
      <c r="DA62" s="224"/>
      <c r="DB62" s="224"/>
      <c r="DC62" s="224"/>
      <c r="DD62" s="224"/>
      <c r="DE62" s="224"/>
      <c r="DF62" s="224"/>
      <c r="DG62" s="224"/>
      <c r="DH62" s="224"/>
      <c r="DI62" s="224"/>
      <c r="DJ62" s="224"/>
      <c r="DK62" s="224"/>
      <c r="DL62" s="224"/>
      <c r="DM62" s="224"/>
      <c r="DN62" s="224"/>
      <c r="DO62" s="224"/>
      <c r="DP62" s="224"/>
      <c r="DQ62" s="224"/>
      <c r="DR62" s="224"/>
      <c r="DS62" s="224"/>
      <c r="DT62" s="224"/>
      <c r="DU62" s="224"/>
      <c r="DV62" s="224"/>
      <c r="DW62" s="224"/>
      <c r="DX62" s="224"/>
      <c r="DY62" s="224"/>
      <c r="DZ62" s="224"/>
      <c r="EA62" s="224"/>
      <c r="EB62" s="224"/>
      <c r="EC62" s="224"/>
      <c r="ED62" s="224"/>
      <c r="EE62" s="224"/>
      <c r="EF62" s="224"/>
      <c r="EG62" s="224"/>
      <c r="EH62" s="224"/>
      <c r="EI62" s="224"/>
      <c r="EJ62" s="224"/>
      <c r="EK62" s="224"/>
      <c r="EL62" s="224"/>
      <c r="EM62" s="224"/>
      <c r="EN62" s="224"/>
      <c r="EO62" s="224"/>
      <c r="EP62" s="224"/>
      <c r="EQ62" s="224"/>
      <c r="ER62" s="224"/>
      <c r="ES62" s="224"/>
      <c r="ET62" s="224"/>
      <c r="EU62" s="224"/>
      <c r="EV62" s="224"/>
      <c r="EW62" s="224"/>
      <c r="EX62" s="224"/>
      <c r="EY62" s="224"/>
      <c r="EZ62" s="224"/>
      <c r="FA62" s="224"/>
      <c r="FB62" s="224"/>
      <c r="FC62" s="224"/>
      <c r="FD62" s="224"/>
      <c r="FE62" s="224"/>
      <c r="FF62" s="224"/>
      <c r="FG62" s="224"/>
      <c r="FH62" s="224"/>
      <c r="FI62" s="224"/>
      <c r="FJ62" s="224"/>
      <c r="FK62" s="224"/>
      <c r="FL62" s="224"/>
      <c r="FM62" s="224"/>
      <c r="FN62" s="224"/>
      <c r="FO62" s="224"/>
      <c r="FP62" s="224"/>
      <c r="FQ62" s="224"/>
      <c r="FR62" s="224"/>
      <c r="FS62" s="224"/>
      <c r="FT62" s="224"/>
      <c r="FU62" s="224"/>
      <c r="FV62" s="224"/>
      <c r="FW62" s="224"/>
      <c r="FX62" s="224"/>
      <c r="FY62" s="224"/>
      <c r="FZ62" s="224"/>
      <c r="GA62" s="224"/>
      <c r="GB62" s="224"/>
      <c r="GC62" s="224"/>
      <c r="GD62" s="224"/>
      <c r="GE62" s="224"/>
      <c r="GF62" s="224"/>
      <c r="GG62" s="224"/>
      <c r="GH62" s="224"/>
      <c r="GI62" s="224"/>
      <c r="GJ62" s="224"/>
      <c r="GK62" s="224"/>
      <c r="GL62" s="224"/>
      <c r="GM62" s="224"/>
      <c r="GN62" s="224"/>
      <c r="GO62" s="224"/>
      <c r="GP62" s="224"/>
      <c r="GQ62" s="224"/>
      <c r="GR62" s="224"/>
      <c r="GS62" s="224"/>
      <c r="GT62" s="224"/>
      <c r="GU62" s="224"/>
      <c r="GV62" s="224"/>
      <c r="GW62" s="224"/>
      <c r="GX62" s="224"/>
      <c r="GY62" s="224"/>
      <c r="GZ62" s="224"/>
      <c r="HA62" s="224"/>
      <c r="HB62" s="224"/>
      <c r="HC62" s="224"/>
      <c r="HD62" s="224"/>
      <c r="HE62" s="224"/>
    </row>
    <row r="63" spans="1:241" s="154" customFormat="1" ht="13.15" customHeight="1">
      <c r="A63" s="172">
        <v>58</v>
      </c>
      <c r="B63" s="172">
        <v>743</v>
      </c>
      <c r="C63" s="172" t="s">
        <v>105</v>
      </c>
      <c r="D63" s="172" t="s">
        <v>99</v>
      </c>
      <c r="E63" s="181">
        <v>1</v>
      </c>
      <c r="F63" s="181">
        <v>2</v>
      </c>
      <c r="G63" s="181">
        <v>3</v>
      </c>
      <c r="H63" s="181">
        <v>1</v>
      </c>
      <c r="I63" s="181">
        <v>1</v>
      </c>
      <c r="J63" s="165">
        <v>0</v>
      </c>
      <c r="K63" s="165">
        <v>0</v>
      </c>
      <c r="L63" s="165">
        <v>0</v>
      </c>
      <c r="M63" s="165">
        <v>0</v>
      </c>
      <c r="N63" s="165">
        <f t="shared" si="38"/>
        <v>-1</v>
      </c>
      <c r="O63" s="165">
        <f t="shared" si="39"/>
        <v>-1</v>
      </c>
      <c r="P63" s="165">
        <f>K63*70+L63*15+M63*40</f>
        <v>0</v>
      </c>
      <c r="Q63" s="165">
        <f>N63*15</f>
        <v>-15</v>
      </c>
      <c r="R63" s="193">
        <v>1478</v>
      </c>
      <c r="S63" s="194">
        <v>1625.8</v>
      </c>
      <c r="T63" s="194">
        <v>1773.6</v>
      </c>
      <c r="U63" s="194">
        <v>1</v>
      </c>
      <c r="V63" s="193">
        <v>1478</v>
      </c>
      <c r="W63" s="188">
        <f>VLOOKUP(B:B,[1]Sheet1!$F$1:$G$65536,2,0)</f>
        <v>1088.4000000000001</v>
      </c>
      <c r="X63" s="188">
        <f t="shared" si="40"/>
        <v>-389.6</v>
      </c>
      <c r="Y63" s="188">
        <f t="shared" si="41"/>
        <v>-389.6</v>
      </c>
      <c r="Z63" s="193"/>
      <c r="AA63" s="197">
        <f t="shared" si="64"/>
        <v>-19.48</v>
      </c>
      <c r="AB63" s="181">
        <v>69</v>
      </c>
      <c r="AC63" s="203">
        <v>76</v>
      </c>
      <c r="AD63" s="203">
        <v>83</v>
      </c>
      <c r="AE63" s="204">
        <v>3</v>
      </c>
      <c r="AF63" s="205">
        <v>83</v>
      </c>
      <c r="AG63" s="206">
        <f>VLOOKUP(B:B,[1]Sheet3!$G$1:$H$65536,2,0)</f>
        <v>46</v>
      </c>
      <c r="AH63" s="206">
        <f>VLOOKUP(B:B,[1]Sheet5!$E$1:$F$65536,2,0)</f>
        <v>6</v>
      </c>
      <c r="AI63" s="206">
        <f>VLOOKUP(B:B,[1]Sheet8!$G$1:$H$65536,2,0)</f>
        <v>35</v>
      </c>
      <c r="AJ63" s="206">
        <f t="shared" si="42"/>
        <v>87</v>
      </c>
      <c r="AK63" s="196">
        <f t="shared" si="43"/>
        <v>18</v>
      </c>
      <c r="AL63" s="196">
        <f t="shared" si="44"/>
        <v>4</v>
      </c>
      <c r="AM63" s="196">
        <f>AG63*2.5+AH63*1.5+AI63*4</f>
        <v>264</v>
      </c>
      <c r="AN63" s="205"/>
      <c r="AO63" s="172">
        <v>367.2</v>
      </c>
      <c r="AP63" s="172">
        <v>403.92</v>
      </c>
      <c r="AQ63" s="172">
        <v>440.64</v>
      </c>
      <c r="AR63" s="172">
        <v>3</v>
      </c>
      <c r="AS63" s="172">
        <v>440.64</v>
      </c>
      <c r="AT63" s="188">
        <f>VLOOKUP(B:B,[1]Sheet10!$F$1:$G$65536,2,0)</f>
        <v>253.8</v>
      </c>
      <c r="AU63" s="188">
        <f>VLOOKUP(B:B,[1]Sheet12!$G$1:$H$65536,2,0)</f>
        <v>188.8</v>
      </c>
      <c r="AV63" s="188">
        <f t="shared" si="45"/>
        <v>442.6</v>
      </c>
      <c r="AW63" s="188">
        <f t="shared" si="46"/>
        <v>75.400000000000006</v>
      </c>
      <c r="AX63" s="188">
        <f t="shared" si="47"/>
        <v>1.9600000000000399</v>
      </c>
      <c r="AY63" s="168">
        <f>AT63*0.09+AU63*0.05</f>
        <v>32.281999999999996</v>
      </c>
      <c r="AZ63" s="172"/>
      <c r="BA63" s="193">
        <f>VLOOKUP(B:B,[10]查询时间段分门店销售明细!$B$1:$X$65536,23,0)</f>
        <v>4315</v>
      </c>
      <c r="BB63" s="188">
        <f>VLOOKUP(B:B,[1]Sheet14!$G$1:$I$65536,3,0)</f>
        <v>5069.00000000001</v>
      </c>
      <c r="BC63" s="188">
        <v>51.06</v>
      </c>
      <c r="BD63" s="188">
        <f t="shared" si="48"/>
        <v>5120.0600000000104</v>
      </c>
      <c r="BE63" s="188">
        <f t="shared" si="49"/>
        <v>805.06000000000995</v>
      </c>
      <c r="BF63" s="188">
        <f t="shared" si="50"/>
        <v>508.43180000000098</v>
      </c>
      <c r="BG63" s="172"/>
      <c r="BH63" s="172">
        <v>1030.32</v>
      </c>
      <c r="BI63" s="172">
        <v>1133.3520000000001</v>
      </c>
      <c r="BJ63" s="172">
        <v>1236.384</v>
      </c>
      <c r="BK63" s="172">
        <v>1</v>
      </c>
      <c r="BL63" s="172">
        <v>1030.32</v>
      </c>
      <c r="BM63" s="188">
        <f>VLOOKUP(B:B,[1]Sheet17!$E$1:$F$65536,2,0)</f>
        <v>639.5</v>
      </c>
      <c r="BN63" s="188">
        <f t="shared" si="51"/>
        <v>-390.82</v>
      </c>
      <c r="BO63" s="188">
        <f t="shared" si="52"/>
        <v>-390.82</v>
      </c>
      <c r="BP63" s="188">
        <f t="shared" si="65"/>
        <v>95.924999999999997</v>
      </c>
      <c r="BQ63" s="188">
        <f t="shared" si="66"/>
        <v>-19.541</v>
      </c>
      <c r="BR63" s="172">
        <v>8591.4</v>
      </c>
      <c r="BS63" s="172">
        <v>9450.5400000000009</v>
      </c>
      <c r="BT63" s="172">
        <v>10309.68</v>
      </c>
      <c r="BU63" s="172">
        <v>1</v>
      </c>
      <c r="BV63" s="172">
        <v>8591.4</v>
      </c>
      <c r="BW63" s="188">
        <f>VLOOKUP(B:B,[2]Sheet1!$G$1:$H$65536,2,0)</f>
        <v>6390.31</v>
      </c>
      <c r="BX63" s="188">
        <f t="shared" si="53"/>
        <v>-2201.09</v>
      </c>
      <c r="BY63" s="188">
        <f t="shared" si="54"/>
        <v>-2201.09</v>
      </c>
      <c r="BZ63" s="166">
        <f t="shared" ref="BZ63:BZ69" si="67">BW63*0.08</f>
        <v>511.22480000000002</v>
      </c>
      <c r="CA63" s="174">
        <f>BX63*0.05</f>
        <v>-110.0545</v>
      </c>
      <c r="CB63" s="188">
        <f t="shared" si="55"/>
        <v>1411.8635999999999</v>
      </c>
      <c r="CC63" s="218">
        <f>VLOOKUP(B:B,[3]门店完成率!$A:$Y,25,0)</f>
        <v>1.0390123655914001</v>
      </c>
      <c r="CD63" s="166">
        <f>CB63</f>
        <v>1411.8635999999999</v>
      </c>
      <c r="CE63" s="188">
        <f t="shared" si="59"/>
        <v>1411.86</v>
      </c>
      <c r="CF63" s="188">
        <f t="shared" si="56"/>
        <v>-164.07550000000001</v>
      </c>
      <c r="CG63" s="188">
        <f t="shared" si="60"/>
        <v>-164.08</v>
      </c>
    </row>
    <row r="64" spans="1:241" s="154" customFormat="1" ht="12.95" customHeight="1">
      <c r="A64" s="172">
        <v>59</v>
      </c>
      <c r="B64" s="172">
        <v>377</v>
      </c>
      <c r="C64" s="172" t="s">
        <v>106</v>
      </c>
      <c r="D64" s="172" t="s">
        <v>99</v>
      </c>
      <c r="E64" s="181">
        <v>3</v>
      </c>
      <c r="F64" s="181">
        <v>4</v>
      </c>
      <c r="G64" s="181">
        <v>5</v>
      </c>
      <c r="H64" s="181">
        <v>1</v>
      </c>
      <c r="I64" s="181">
        <v>3</v>
      </c>
      <c r="J64" s="165">
        <v>5</v>
      </c>
      <c r="K64" s="165">
        <f>VLOOKUP(B:B,[5]Sheet1!$I$1:$K$65536,3,0)</f>
        <v>1</v>
      </c>
      <c r="L64" s="165">
        <f>VLOOKUP(B:B,[5]Sheet1!$I$1:$M$65536,5,0)</f>
        <v>4</v>
      </c>
      <c r="M64" s="165">
        <f>VLOOKUP(B:B,[5]Sheet1!$I$1:$N$65536,6,0)</f>
        <v>0</v>
      </c>
      <c r="N64" s="165">
        <f t="shared" si="38"/>
        <v>2</v>
      </c>
      <c r="O64" s="165">
        <f t="shared" si="39"/>
        <v>2</v>
      </c>
      <c r="P64" s="165">
        <f>K64*90+L64*15+M64*40</f>
        <v>150</v>
      </c>
      <c r="Q64" s="165"/>
      <c r="R64" s="193">
        <v>2908</v>
      </c>
      <c r="S64" s="194">
        <v>3198.8</v>
      </c>
      <c r="T64" s="194">
        <v>3489.6</v>
      </c>
      <c r="U64" s="194">
        <v>2</v>
      </c>
      <c r="V64" s="193">
        <v>3198.8</v>
      </c>
      <c r="W64" s="188">
        <f>VLOOKUP(B:B,[1]Sheet1!$F$1:$G$65536,2,0)</f>
        <v>2332.4</v>
      </c>
      <c r="X64" s="188">
        <f t="shared" si="40"/>
        <v>-575.6</v>
      </c>
      <c r="Y64" s="188">
        <f t="shared" si="41"/>
        <v>-866.4</v>
      </c>
      <c r="Z64" s="193"/>
      <c r="AA64" s="197">
        <f t="shared" si="64"/>
        <v>-28.78</v>
      </c>
      <c r="AB64" s="181">
        <v>124</v>
      </c>
      <c r="AC64" s="203">
        <v>136</v>
      </c>
      <c r="AD64" s="203">
        <v>149</v>
      </c>
      <c r="AE64" s="204">
        <v>2</v>
      </c>
      <c r="AF64" s="205">
        <v>136</v>
      </c>
      <c r="AG64" s="206">
        <f>VLOOKUP(B:B,[1]Sheet3!$G$1:$H$65536,2,0)</f>
        <v>83</v>
      </c>
      <c r="AH64" s="206">
        <f>VLOOKUP(B:B,[1]Sheet5!$E$1:$F$65536,2,0)</f>
        <v>25</v>
      </c>
      <c r="AI64" s="206">
        <f>VLOOKUP(B:B,[1]Sheet8!$G$1:$H$65536,2,0)</f>
        <v>28</v>
      </c>
      <c r="AJ64" s="206">
        <f t="shared" si="42"/>
        <v>136</v>
      </c>
      <c r="AK64" s="196">
        <f t="shared" si="43"/>
        <v>12</v>
      </c>
      <c r="AL64" s="196">
        <f t="shared" si="44"/>
        <v>0</v>
      </c>
      <c r="AM64" s="196">
        <f>AG64*1.5+AH64*1+AI64*3</f>
        <v>233.5</v>
      </c>
      <c r="AN64" s="205"/>
      <c r="AO64" s="172">
        <v>653.4</v>
      </c>
      <c r="AP64" s="172">
        <v>718.74</v>
      </c>
      <c r="AQ64" s="172">
        <v>784.08</v>
      </c>
      <c r="AR64" s="172">
        <v>1</v>
      </c>
      <c r="AS64" s="172">
        <v>653.4</v>
      </c>
      <c r="AT64" s="188">
        <f>VLOOKUP(B:B,[1]Sheet10!$F$1:$G$65536,2,0)</f>
        <v>19.899999999999999</v>
      </c>
      <c r="AU64" s="188">
        <f>VLOOKUP(B:B,[1]Sheet12!$G$1:$H$65536,2,0)</f>
        <v>74</v>
      </c>
      <c r="AV64" s="188">
        <f t="shared" si="45"/>
        <v>93.9</v>
      </c>
      <c r="AW64" s="188">
        <f t="shared" si="46"/>
        <v>-559.5</v>
      </c>
      <c r="AX64" s="188">
        <f t="shared" si="47"/>
        <v>-559.5</v>
      </c>
      <c r="AY64" s="172"/>
      <c r="AZ64" s="188">
        <f>AW64*0.04</f>
        <v>-22.38</v>
      </c>
      <c r="BA64" s="193">
        <f>VLOOKUP(B:B,[10]查询时间段分门店销售明细!$B$1:$X$65536,23,0)</f>
        <v>7778.6</v>
      </c>
      <c r="BB64" s="188">
        <f>VLOOKUP(B:B,[1]Sheet14!$G$1:$I$65536,3,0)</f>
        <v>7074.1000000000104</v>
      </c>
      <c r="BC64" s="188">
        <v>10.56</v>
      </c>
      <c r="BD64" s="188">
        <f t="shared" si="48"/>
        <v>7084.6600000000099</v>
      </c>
      <c r="BE64" s="188">
        <f t="shared" si="49"/>
        <v>-693.93999999999005</v>
      </c>
      <c r="BF64" s="188">
        <f t="shared" si="50"/>
        <v>707.72680000000105</v>
      </c>
      <c r="BG64" s="210">
        <f>BE64*0.03</f>
        <v>-20.818199999999699</v>
      </c>
      <c r="BH64" s="172">
        <v>1895.76</v>
      </c>
      <c r="BI64" s="172">
        <v>2085.3359999999998</v>
      </c>
      <c r="BJ64" s="172">
        <v>2274.9119999999998</v>
      </c>
      <c r="BK64" s="172">
        <v>1</v>
      </c>
      <c r="BL64" s="172">
        <v>1895.76</v>
      </c>
      <c r="BM64" s="188">
        <f>VLOOKUP(B:B,[1]Sheet17!$E$1:$F$65536,2,0)</f>
        <v>0</v>
      </c>
      <c r="BN64" s="188">
        <f t="shared" si="51"/>
        <v>-1895.76</v>
      </c>
      <c r="BO64" s="188">
        <f t="shared" si="52"/>
        <v>-1895.76</v>
      </c>
      <c r="BP64" s="188">
        <f t="shared" si="65"/>
        <v>0</v>
      </c>
      <c r="BQ64" s="188">
        <f t="shared" si="66"/>
        <v>-94.787999999999997</v>
      </c>
      <c r="BR64" s="172">
        <v>15975.9</v>
      </c>
      <c r="BS64" s="172">
        <v>17573.490000000002</v>
      </c>
      <c r="BT64" s="172">
        <v>19171.080000000002</v>
      </c>
      <c r="BU64" s="172">
        <v>2</v>
      </c>
      <c r="BV64" s="172">
        <v>17573.490000000002</v>
      </c>
      <c r="BW64" s="188">
        <f>VLOOKUP(B:B,[2]Sheet1!$G$1:$H$65536,2,0)</f>
        <v>15427.47</v>
      </c>
      <c r="BX64" s="188">
        <f t="shared" si="53"/>
        <v>-548.42999999999995</v>
      </c>
      <c r="BY64" s="188">
        <f t="shared" si="54"/>
        <v>-2146.02</v>
      </c>
      <c r="BZ64" s="166">
        <f t="shared" si="67"/>
        <v>1234.1976</v>
      </c>
      <c r="CA64" s="174">
        <f>BX64*0.05</f>
        <v>-27.421500000000002</v>
      </c>
      <c r="CB64" s="188">
        <f t="shared" si="55"/>
        <v>2325.4243999999999</v>
      </c>
      <c r="CC64" s="218">
        <f>VLOOKUP(B:B,[3]门店完成率!$A:$Y,25,0)</f>
        <v>0.91926751792114703</v>
      </c>
      <c r="CD64" s="188">
        <f t="shared" ref="CD64:CD70" si="68">CB64*0.5+CB64*0.5*CC64</f>
        <v>2231.55575815064</v>
      </c>
      <c r="CE64" s="188">
        <f t="shared" si="59"/>
        <v>2231.56</v>
      </c>
      <c r="CF64" s="188">
        <f t="shared" si="56"/>
        <v>-194.18770000000001</v>
      </c>
      <c r="CG64" s="188">
        <f t="shared" si="60"/>
        <v>-194.19</v>
      </c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</row>
    <row r="65" spans="1:241" s="154" customFormat="1" ht="13.5">
      <c r="A65" s="172">
        <v>60</v>
      </c>
      <c r="B65" s="229">
        <v>387</v>
      </c>
      <c r="C65" s="229" t="s">
        <v>107</v>
      </c>
      <c r="D65" s="229" t="s">
        <v>99</v>
      </c>
      <c r="E65" s="173">
        <v>4</v>
      </c>
      <c r="F65" s="173">
        <v>5</v>
      </c>
      <c r="G65" s="173">
        <v>6</v>
      </c>
      <c r="H65" s="173">
        <v>1</v>
      </c>
      <c r="I65" s="173">
        <v>4</v>
      </c>
      <c r="J65" s="165">
        <v>10</v>
      </c>
      <c r="K65" s="165">
        <f>VLOOKUP(B:B,[5]Sheet1!$I$1:$K$65536,3,0)</f>
        <v>3</v>
      </c>
      <c r="L65" s="165">
        <f>VLOOKUP(B:B,[5]Sheet1!$I$1:$M$65536,5,0)</f>
        <v>6</v>
      </c>
      <c r="M65" s="165">
        <f>VLOOKUP(B:B,[5]Sheet1!$I$1:$N$65536,6,0)</f>
        <v>0.66</v>
      </c>
      <c r="N65" s="165">
        <f t="shared" si="38"/>
        <v>6</v>
      </c>
      <c r="O65" s="165">
        <f t="shared" si="39"/>
        <v>6</v>
      </c>
      <c r="P65" s="165">
        <f>K65*90+L65*15+M65*40</f>
        <v>386.4</v>
      </c>
      <c r="Q65" s="165"/>
      <c r="R65" s="190">
        <v>3078</v>
      </c>
      <c r="S65" s="11">
        <v>3385.8</v>
      </c>
      <c r="T65" s="11">
        <v>3693.6</v>
      </c>
      <c r="U65" s="11">
        <v>2</v>
      </c>
      <c r="V65" s="190">
        <v>3385.8</v>
      </c>
      <c r="W65" s="188">
        <f>VLOOKUP(B:B,[1]Sheet1!$F$1:$G$65536,2,0)</f>
        <v>4971.17</v>
      </c>
      <c r="X65" s="188">
        <f t="shared" si="40"/>
        <v>1893.17</v>
      </c>
      <c r="Y65" s="188">
        <f t="shared" si="41"/>
        <v>1585.37</v>
      </c>
      <c r="Z65" s="188">
        <f>W65*0.09</f>
        <v>447.40530000000001</v>
      </c>
      <c r="AA65" s="190"/>
      <c r="AB65" s="173">
        <v>166</v>
      </c>
      <c r="AC65" s="198">
        <v>183</v>
      </c>
      <c r="AD65" s="198">
        <v>199</v>
      </c>
      <c r="AE65" s="178">
        <v>1</v>
      </c>
      <c r="AF65" s="199">
        <v>166</v>
      </c>
      <c r="AG65" s="206">
        <f>VLOOKUP(B:B,[1]Sheet3!$G$1:$H$65536,2,0)</f>
        <v>91</v>
      </c>
      <c r="AH65" s="206">
        <f>VLOOKUP(B:B,[1]Sheet5!$E$1:$F$65536,2,0)</f>
        <v>30</v>
      </c>
      <c r="AI65" s="206">
        <f>VLOOKUP(B:B,[1]Sheet8!$G$1:$H$65536,2,0)</f>
        <v>51</v>
      </c>
      <c r="AJ65" s="206">
        <f t="shared" si="42"/>
        <v>172</v>
      </c>
      <c r="AK65" s="196">
        <f t="shared" si="43"/>
        <v>6</v>
      </c>
      <c r="AL65" s="196">
        <f t="shared" si="44"/>
        <v>6</v>
      </c>
      <c r="AM65" s="196">
        <f>AG65*1+AH65*0.5+AI65*2</f>
        <v>208</v>
      </c>
      <c r="AN65" s="199"/>
      <c r="AO65" s="229">
        <v>1029.5999999999999</v>
      </c>
      <c r="AP65" s="229">
        <v>1132.56</v>
      </c>
      <c r="AQ65" s="229">
        <v>1235.52</v>
      </c>
      <c r="AR65" s="229">
        <v>1</v>
      </c>
      <c r="AS65" s="229">
        <v>1029.5999999999999</v>
      </c>
      <c r="AT65" s="188">
        <f>VLOOKUP(B:B,[1]Sheet10!$F$1:$G$65536,2,0)</f>
        <v>283.57</v>
      </c>
      <c r="AU65" s="188">
        <f>VLOOKUP(B:B,[1]Sheet12!$G$1:$H$65536,2,0)</f>
        <v>373.1</v>
      </c>
      <c r="AV65" s="188">
        <f t="shared" si="45"/>
        <v>656.67</v>
      </c>
      <c r="AW65" s="188">
        <f t="shared" si="46"/>
        <v>-372.93</v>
      </c>
      <c r="AX65" s="188">
        <f t="shared" si="47"/>
        <v>-372.93</v>
      </c>
      <c r="AY65" s="229"/>
      <c r="AZ65" s="188">
        <f>AW65*0.04</f>
        <v>-14.917199999999999</v>
      </c>
      <c r="BA65" s="190">
        <f>VLOOKUP(B:B,[10]查询时间段分门店销售明细!$B$1:$X$65536,23,0)</f>
        <v>8378.67</v>
      </c>
      <c r="BB65" s="188">
        <f>VLOOKUP(B:B,[1]Sheet14!$G$1:$I$65536,3,0)</f>
        <v>5231.21000000001</v>
      </c>
      <c r="BC65" s="188">
        <v>97.75</v>
      </c>
      <c r="BD65" s="188">
        <f t="shared" si="48"/>
        <v>5328.96000000001</v>
      </c>
      <c r="BE65" s="188">
        <f t="shared" si="49"/>
        <v>-3049.70999999999</v>
      </c>
      <c r="BF65" s="188">
        <f t="shared" si="50"/>
        <v>526.05350000000101</v>
      </c>
      <c r="BG65" s="210">
        <f>BE65*0.03</f>
        <v>-91.491299999999697</v>
      </c>
      <c r="BH65" s="229">
        <v>2988</v>
      </c>
      <c r="BI65" s="229">
        <v>3286.8</v>
      </c>
      <c r="BJ65" s="229">
        <v>3585.6</v>
      </c>
      <c r="BK65" s="229">
        <v>2</v>
      </c>
      <c r="BL65" s="229">
        <v>3286.8</v>
      </c>
      <c r="BM65" s="188">
        <f>VLOOKUP(B:B,[1]Sheet17!$E$1:$F$65536,2,0)</f>
        <v>2377.75</v>
      </c>
      <c r="BN65" s="188">
        <f t="shared" si="51"/>
        <v>-610.25</v>
      </c>
      <c r="BO65" s="188">
        <f t="shared" si="52"/>
        <v>-909.05</v>
      </c>
      <c r="BP65" s="188">
        <f t="shared" si="65"/>
        <v>356.66250000000002</v>
      </c>
      <c r="BQ65" s="188">
        <f t="shared" si="66"/>
        <v>-30.512499999999999</v>
      </c>
      <c r="BR65" s="229">
        <v>25481.7</v>
      </c>
      <c r="BS65" s="229">
        <v>28029.87</v>
      </c>
      <c r="BT65" s="229">
        <v>30578.04</v>
      </c>
      <c r="BU65" s="229">
        <v>1</v>
      </c>
      <c r="BV65" s="229">
        <v>25481.7</v>
      </c>
      <c r="BW65" s="188">
        <f>VLOOKUP(B:B,[2]Sheet1!$G$1:$H$65536,2,0)</f>
        <v>24892.66</v>
      </c>
      <c r="BX65" s="188">
        <f t="shared" si="53"/>
        <v>-589.04000000000099</v>
      </c>
      <c r="BY65" s="188">
        <f t="shared" si="54"/>
        <v>-589.04000000000099</v>
      </c>
      <c r="BZ65" s="166">
        <f t="shared" si="67"/>
        <v>1991.4128000000001</v>
      </c>
      <c r="CA65" s="174">
        <f>BX65*0.05</f>
        <v>-29.452000000000002</v>
      </c>
      <c r="CB65" s="188">
        <f t="shared" si="55"/>
        <v>3915.9340999999999</v>
      </c>
      <c r="CC65" s="218">
        <f>VLOOKUP(B:B,[3]门店完成率!$A:$Y,25,0)</f>
        <v>0.90337938556067598</v>
      </c>
      <c r="CD65" s="188">
        <f t="shared" si="68"/>
        <v>3726.7541205770499</v>
      </c>
      <c r="CE65" s="188">
        <f t="shared" si="59"/>
        <v>3726.75</v>
      </c>
      <c r="CF65" s="188">
        <f t="shared" si="56"/>
        <v>-166.37299999999999</v>
      </c>
      <c r="CG65" s="188">
        <f t="shared" si="60"/>
        <v>-166.37</v>
      </c>
      <c r="CH65" s="252"/>
      <c r="CI65" s="252"/>
      <c r="CJ65" s="252"/>
      <c r="CK65" s="252"/>
      <c r="CL65" s="252"/>
      <c r="CM65" s="252"/>
      <c r="CN65" s="252"/>
      <c r="CO65" s="252"/>
      <c r="CP65" s="252"/>
      <c r="CQ65" s="252"/>
      <c r="CR65" s="252"/>
      <c r="CS65" s="252"/>
      <c r="CT65" s="252"/>
      <c r="CU65" s="252"/>
      <c r="CV65" s="252"/>
      <c r="CW65" s="252"/>
      <c r="CX65" s="252"/>
      <c r="CY65" s="252"/>
      <c r="CZ65" s="252"/>
      <c r="DA65" s="252"/>
      <c r="DB65" s="252"/>
      <c r="DC65" s="252"/>
      <c r="DD65" s="252"/>
      <c r="DE65" s="252"/>
      <c r="DF65" s="252"/>
      <c r="DG65" s="252"/>
      <c r="DH65" s="252"/>
      <c r="DI65" s="252"/>
      <c r="DJ65" s="252"/>
      <c r="DK65" s="252"/>
      <c r="DL65" s="252"/>
      <c r="DM65" s="252"/>
      <c r="DN65" s="252"/>
      <c r="DO65" s="252"/>
      <c r="DP65" s="252"/>
      <c r="DQ65" s="252"/>
      <c r="DR65" s="252"/>
      <c r="DS65" s="252"/>
      <c r="DT65" s="252"/>
      <c r="DU65" s="252"/>
      <c r="DV65" s="252"/>
      <c r="DW65" s="252"/>
      <c r="DX65" s="252"/>
      <c r="DY65" s="252"/>
      <c r="DZ65" s="252"/>
      <c r="EA65" s="252"/>
      <c r="EB65" s="252"/>
      <c r="EC65" s="252"/>
      <c r="ED65" s="252"/>
      <c r="EE65" s="252"/>
      <c r="EF65" s="252"/>
      <c r="EG65" s="252"/>
      <c r="EH65" s="252"/>
      <c r="EI65" s="252"/>
      <c r="EJ65" s="252"/>
      <c r="EK65" s="252"/>
      <c r="EL65" s="252"/>
      <c r="EM65" s="252"/>
      <c r="EN65" s="252"/>
      <c r="EO65" s="252"/>
      <c r="EP65" s="252"/>
      <c r="EQ65" s="252"/>
      <c r="ER65" s="252"/>
      <c r="ES65" s="252"/>
      <c r="ET65" s="252"/>
      <c r="EU65" s="252"/>
      <c r="EV65" s="252"/>
      <c r="EW65" s="252"/>
      <c r="EX65" s="252"/>
      <c r="EY65" s="252"/>
      <c r="EZ65" s="252"/>
      <c r="FA65" s="252"/>
      <c r="FB65" s="252"/>
      <c r="FC65" s="252"/>
      <c r="FD65" s="252"/>
      <c r="FE65" s="252"/>
      <c r="FF65" s="252"/>
      <c r="FG65" s="252"/>
      <c r="FH65" s="252"/>
      <c r="FI65" s="252"/>
      <c r="FJ65" s="252"/>
      <c r="FK65" s="252"/>
      <c r="FL65" s="252"/>
      <c r="FM65" s="252"/>
      <c r="FN65" s="252"/>
      <c r="FO65" s="252"/>
      <c r="FP65" s="252"/>
      <c r="FQ65" s="252"/>
      <c r="FR65" s="252"/>
      <c r="FS65" s="252"/>
      <c r="FT65" s="252"/>
      <c r="FU65" s="252"/>
      <c r="FV65" s="252"/>
      <c r="FW65" s="252"/>
      <c r="FX65" s="252"/>
      <c r="FY65" s="252"/>
      <c r="FZ65" s="252"/>
      <c r="GA65" s="252"/>
      <c r="GB65" s="252"/>
      <c r="GC65" s="252"/>
      <c r="GD65" s="252"/>
      <c r="GE65" s="252"/>
      <c r="GF65" s="252"/>
      <c r="GG65" s="252"/>
      <c r="GH65" s="252"/>
      <c r="GI65" s="252"/>
      <c r="GJ65" s="252"/>
      <c r="GK65" s="252"/>
      <c r="GL65" s="252"/>
      <c r="GM65" s="252"/>
      <c r="GN65" s="252"/>
      <c r="GO65" s="252"/>
      <c r="GP65" s="252"/>
      <c r="GQ65" s="252"/>
      <c r="GR65" s="252"/>
      <c r="GS65" s="252"/>
      <c r="GT65" s="252"/>
      <c r="GU65" s="252"/>
      <c r="GV65" s="252"/>
      <c r="GW65" s="252"/>
      <c r="GX65" s="252"/>
      <c r="GY65" s="252"/>
      <c r="GZ65" s="252"/>
      <c r="HA65" s="252"/>
      <c r="HB65" s="252"/>
      <c r="HC65" s="252"/>
      <c r="HD65" s="252"/>
      <c r="HE65" s="252"/>
      <c r="HF65" s="259"/>
      <c r="HG65" s="259"/>
      <c r="HH65" s="259"/>
      <c r="HI65" s="259"/>
      <c r="HJ65" s="259"/>
      <c r="HK65" s="259"/>
      <c r="HL65" s="259"/>
      <c r="HM65" s="259"/>
      <c r="HN65" s="259"/>
      <c r="HO65" s="259"/>
      <c r="HP65" s="259"/>
      <c r="HQ65" s="259"/>
      <c r="HR65" s="259"/>
      <c r="HS65" s="259"/>
      <c r="HT65" s="259"/>
      <c r="HU65" s="259"/>
      <c r="HV65" s="259"/>
      <c r="HW65" s="259"/>
      <c r="HX65" s="259"/>
      <c r="HY65" s="259"/>
      <c r="HZ65" s="259"/>
      <c r="IA65" s="259"/>
      <c r="IB65" s="259"/>
      <c r="IC65" s="259"/>
      <c r="ID65" s="259"/>
      <c r="IE65" s="259"/>
      <c r="IF65" s="259"/>
      <c r="IG65" s="259"/>
    </row>
    <row r="66" spans="1:241" s="154" customFormat="1" ht="13.15" customHeight="1">
      <c r="A66" s="172">
        <v>61</v>
      </c>
      <c r="B66" s="172">
        <v>399</v>
      </c>
      <c r="C66" s="172" t="s">
        <v>108</v>
      </c>
      <c r="D66" s="172" t="s">
        <v>99</v>
      </c>
      <c r="E66" s="173">
        <v>2</v>
      </c>
      <c r="F66" s="181">
        <v>3</v>
      </c>
      <c r="G66" s="181">
        <v>4</v>
      </c>
      <c r="H66" s="181">
        <v>1</v>
      </c>
      <c r="I66" s="181">
        <v>2</v>
      </c>
      <c r="J66" s="165">
        <v>2</v>
      </c>
      <c r="K66" s="165">
        <f>VLOOKUP(B:B,[5]Sheet1!$I$1:$K$65536,3,0)</f>
        <v>0</v>
      </c>
      <c r="L66" s="165">
        <f>VLOOKUP(B:B,[5]Sheet1!$I$1:$M$65536,5,0)</f>
        <v>2</v>
      </c>
      <c r="M66" s="165">
        <f>VLOOKUP(B:B,[5]Sheet1!$I$1:$N$65536,6,0)</f>
        <v>0</v>
      </c>
      <c r="N66" s="165">
        <f t="shared" si="38"/>
        <v>0</v>
      </c>
      <c r="O66" s="165">
        <f t="shared" si="39"/>
        <v>0</v>
      </c>
      <c r="P66" s="165">
        <f>K66*90+L66*15+M66*40</f>
        <v>30</v>
      </c>
      <c r="Q66" s="165"/>
      <c r="R66" s="193">
        <v>3287</v>
      </c>
      <c r="S66" s="194">
        <v>3615.7</v>
      </c>
      <c r="T66" s="194">
        <v>3944.4</v>
      </c>
      <c r="U66" s="194">
        <v>1</v>
      </c>
      <c r="V66" s="193">
        <v>3287</v>
      </c>
      <c r="W66" s="188">
        <f>VLOOKUP(B:B,[1]Sheet1!$F$1:$G$65536,2,0)</f>
        <v>3419.65</v>
      </c>
      <c r="X66" s="188">
        <f t="shared" si="40"/>
        <v>132.65</v>
      </c>
      <c r="Y66" s="188">
        <f t="shared" si="41"/>
        <v>132.65</v>
      </c>
      <c r="Z66" s="188">
        <f>W66*0.07</f>
        <v>239.37549999999999</v>
      </c>
      <c r="AA66" s="193"/>
      <c r="AB66" s="181">
        <v>110</v>
      </c>
      <c r="AC66" s="203">
        <v>121</v>
      </c>
      <c r="AD66" s="203">
        <v>132</v>
      </c>
      <c r="AE66" s="204">
        <v>1</v>
      </c>
      <c r="AF66" s="205">
        <v>110</v>
      </c>
      <c r="AG66" s="206">
        <f>VLOOKUP(B:B,[1]Sheet3!$G$1:$H$65536,2,0)</f>
        <v>93</v>
      </c>
      <c r="AH66" s="206">
        <f>VLOOKUP(B:B,[1]Sheet5!$E$1:$F$65536,2,0)</f>
        <v>11</v>
      </c>
      <c r="AI66" s="206">
        <f>VLOOKUP(B:B,[1]Sheet8!$G$1:$H$65536,2,0)</f>
        <v>84</v>
      </c>
      <c r="AJ66" s="206">
        <f t="shared" si="42"/>
        <v>188</v>
      </c>
      <c r="AK66" s="196">
        <f t="shared" si="43"/>
        <v>78</v>
      </c>
      <c r="AL66" s="196">
        <f t="shared" si="44"/>
        <v>78</v>
      </c>
      <c r="AM66" s="196">
        <f>AG66*1+AH66*0.5+AI66*2</f>
        <v>266.5</v>
      </c>
      <c r="AN66" s="205"/>
      <c r="AO66" s="172">
        <v>564.29999999999995</v>
      </c>
      <c r="AP66" s="172">
        <v>620.73</v>
      </c>
      <c r="AQ66" s="172">
        <v>677.16</v>
      </c>
      <c r="AR66" s="172">
        <v>3</v>
      </c>
      <c r="AS66" s="172">
        <v>677.16</v>
      </c>
      <c r="AT66" s="188">
        <f>VLOOKUP(B:B,[1]Sheet10!$F$1:$G$65536,2,0)</f>
        <v>1108.54</v>
      </c>
      <c r="AU66" s="188">
        <f>VLOOKUP(B:B,[1]Sheet12!$G$1:$H$65536,2,0)</f>
        <v>38</v>
      </c>
      <c r="AV66" s="188">
        <f t="shared" si="45"/>
        <v>1146.54</v>
      </c>
      <c r="AW66" s="188">
        <f t="shared" si="46"/>
        <v>582.24</v>
      </c>
      <c r="AX66" s="188">
        <f t="shared" si="47"/>
        <v>469.38</v>
      </c>
      <c r="AY66" s="168">
        <f>AT66*0.09+AU66*0.05</f>
        <v>101.6686</v>
      </c>
      <c r="AZ66" s="172"/>
      <c r="BA66" s="193">
        <f>VLOOKUP(B:B,[11]查询时间段分门店销售明细!$B$1:$X$65536,23,0)</f>
        <v>4018.59</v>
      </c>
      <c r="BB66" s="188">
        <f>VLOOKUP(B:B,[1]Sheet14!$G$1:$I$65536,3,0)</f>
        <v>7564.4500000000098</v>
      </c>
      <c r="BC66" s="188">
        <v>279.99</v>
      </c>
      <c r="BD66" s="188">
        <f t="shared" si="48"/>
        <v>7844.4400000000096</v>
      </c>
      <c r="BE66" s="188">
        <f t="shared" si="49"/>
        <v>3825.8500000000099</v>
      </c>
      <c r="BF66" s="188">
        <f t="shared" si="50"/>
        <v>764.84470000000101</v>
      </c>
      <c r="BG66" s="172"/>
      <c r="BH66" s="172">
        <v>1876.32</v>
      </c>
      <c r="BI66" s="172">
        <v>2063.9520000000002</v>
      </c>
      <c r="BJ66" s="172">
        <v>2251.5839999999998</v>
      </c>
      <c r="BK66" s="172">
        <v>1</v>
      </c>
      <c r="BL66" s="172">
        <v>1876.32</v>
      </c>
      <c r="BM66" s="188">
        <f>VLOOKUP(B:B,[1]Sheet17!$E$1:$F$65536,2,0)</f>
        <v>616.27</v>
      </c>
      <c r="BN66" s="188">
        <f t="shared" si="51"/>
        <v>-1260.05</v>
      </c>
      <c r="BO66" s="188">
        <f t="shared" si="52"/>
        <v>-1260.05</v>
      </c>
      <c r="BP66" s="188">
        <f t="shared" si="65"/>
        <v>92.4405</v>
      </c>
      <c r="BQ66" s="188">
        <f t="shared" si="66"/>
        <v>-63.002499999999998</v>
      </c>
      <c r="BR66" s="172">
        <v>15026.4</v>
      </c>
      <c r="BS66" s="172">
        <v>16529.04</v>
      </c>
      <c r="BT66" s="172">
        <v>18031.68</v>
      </c>
      <c r="BU66" s="172">
        <v>1</v>
      </c>
      <c r="BV66" s="172">
        <v>15026.4</v>
      </c>
      <c r="BW66" s="188">
        <f>VLOOKUP(B:B,[2]Sheet1!$G$1:$H$65536,2,0)</f>
        <v>11295.76</v>
      </c>
      <c r="BX66" s="188">
        <f t="shared" si="53"/>
        <v>-3730.64</v>
      </c>
      <c r="BY66" s="188">
        <f t="shared" si="54"/>
        <v>-3730.64</v>
      </c>
      <c r="BZ66" s="166">
        <f t="shared" si="67"/>
        <v>903.66079999999999</v>
      </c>
      <c r="CA66" s="174">
        <f>BX66*0.05</f>
        <v>-186.53200000000001</v>
      </c>
      <c r="CB66" s="188">
        <f t="shared" si="55"/>
        <v>2398.4901</v>
      </c>
      <c r="CC66" s="218">
        <f>VLOOKUP(B:B,[3]门店完成率!$A:$Y,25,0)</f>
        <v>0.97395104364326401</v>
      </c>
      <c r="CD66" s="188">
        <f t="shared" si="68"/>
        <v>2367.2510180315198</v>
      </c>
      <c r="CE66" s="188">
        <f t="shared" si="59"/>
        <v>2367.25</v>
      </c>
      <c r="CF66" s="188">
        <f t="shared" si="56"/>
        <v>-249.53450000000001</v>
      </c>
      <c r="CG66" s="188">
        <f t="shared" si="60"/>
        <v>-249.53</v>
      </c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</row>
    <row r="67" spans="1:241" s="154" customFormat="1" ht="13.15" customHeight="1">
      <c r="A67" s="172">
        <v>62</v>
      </c>
      <c r="B67" s="172">
        <v>541</v>
      </c>
      <c r="C67" s="172" t="s">
        <v>109</v>
      </c>
      <c r="D67" s="172" t="s">
        <v>99</v>
      </c>
      <c r="E67" s="173">
        <v>3</v>
      </c>
      <c r="F67" s="173">
        <v>4</v>
      </c>
      <c r="G67" s="173">
        <v>5</v>
      </c>
      <c r="H67" s="173">
        <v>1</v>
      </c>
      <c r="I67" s="173">
        <v>3</v>
      </c>
      <c r="J67" s="165">
        <v>3</v>
      </c>
      <c r="K67" s="165">
        <f>VLOOKUP(B:B,[5]Sheet1!$I$1:$K$65536,3,0)</f>
        <v>0</v>
      </c>
      <c r="L67" s="165">
        <f>VLOOKUP(B:B,[5]Sheet1!$I$1:$M$65536,5,0)</f>
        <v>0</v>
      </c>
      <c r="M67" s="165">
        <f>VLOOKUP(B:B,[5]Sheet1!$I$1:$N$65536,6,0)</f>
        <v>2</v>
      </c>
      <c r="N67" s="165">
        <f t="shared" si="38"/>
        <v>0</v>
      </c>
      <c r="O67" s="165">
        <f t="shared" si="39"/>
        <v>0</v>
      </c>
      <c r="P67" s="165">
        <f>K67*90+L67*15+M67*40</f>
        <v>80</v>
      </c>
      <c r="Q67" s="165"/>
      <c r="R67" s="190">
        <v>2543</v>
      </c>
      <c r="S67" s="11">
        <v>2797.3</v>
      </c>
      <c r="T67" s="11">
        <v>3051.6</v>
      </c>
      <c r="U67" s="11">
        <v>2</v>
      </c>
      <c r="V67" s="190">
        <v>2797.3</v>
      </c>
      <c r="W67" s="188">
        <f>VLOOKUP(B:B,[1]Sheet1!$F$1:$G$65536,2,0)</f>
        <v>1222.5</v>
      </c>
      <c r="X67" s="188">
        <f t="shared" si="40"/>
        <v>-1320.5</v>
      </c>
      <c r="Y67" s="188">
        <f t="shared" si="41"/>
        <v>-1574.8</v>
      </c>
      <c r="Z67" s="190"/>
      <c r="AA67" s="197">
        <f>X67*0.05</f>
        <v>-66.025000000000006</v>
      </c>
      <c r="AB67" s="173">
        <v>168</v>
      </c>
      <c r="AC67" s="198">
        <v>185</v>
      </c>
      <c r="AD67" s="198">
        <v>202</v>
      </c>
      <c r="AE67" s="178">
        <v>3</v>
      </c>
      <c r="AF67" s="199">
        <v>202</v>
      </c>
      <c r="AG67" s="206">
        <f>VLOOKUP(B:B,[1]Sheet3!$G$1:$H$65536,2,0)</f>
        <v>164</v>
      </c>
      <c r="AH67" s="206">
        <f>VLOOKUP(B:B,[1]Sheet5!$E$1:$F$65536,2,0)</f>
        <v>14</v>
      </c>
      <c r="AI67" s="206">
        <f>VLOOKUP(B:B,[1]Sheet8!$G$1:$H$65536,2,0)</f>
        <v>181</v>
      </c>
      <c r="AJ67" s="206">
        <f t="shared" si="42"/>
        <v>359</v>
      </c>
      <c r="AK67" s="196">
        <f t="shared" si="43"/>
        <v>191</v>
      </c>
      <c r="AL67" s="196">
        <f t="shared" si="44"/>
        <v>157</v>
      </c>
      <c r="AM67" s="196">
        <f>AG67*2.5+AH67*1.5+AI67*4</f>
        <v>1155</v>
      </c>
      <c r="AN67" s="199"/>
      <c r="AO67" s="172">
        <v>946.8</v>
      </c>
      <c r="AP67" s="172">
        <v>1041.48</v>
      </c>
      <c r="AQ67" s="172">
        <v>1136.1600000000001</v>
      </c>
      <c r="AR67" s="172">
        <v>3</v>
      </c>
      <c r="AS67" s="172">
        <v>1136.1600000000001</v>
      </c>
      <c r="AT67" s="188">
        <f>VLOOKUP(B:B,[1]Sheet10!$F$1:$G$65536,2,0)</f>
        <v>813.22</v>
      </c>
      <c r="AU67" s="188">
        <f>VLOOKUP(B:B,[1]Sheet12!$G$1:$H$65536,2,0)</f>
        <v>189</v>
      </c>
      <c r="AV67" s="188">
        <f t="shared" si="45"/>
        <v>1002.22</v>
      </c>
      <c r="AW67" s="188">
        <f t="shared" si="46"/>
        <v>55.420000000000101</v>
      </c>
      <c r="AX67" s="188">
        <f t="shared" si="47"/>
        <v>-133.94</v>
      </c>
      <c r="AY67" s="172"/>
      <c r="AZ67" s="172"/>
      <c r="BA67" s="190">
        <f>VLOOKUP(B:B,[11]查询时间段分门店销售明细!$B$1:$X$65536,23,0)</f>
        <v>7214.53</v>
      </c>
      <c r="BB67" s="188">
        <f>VLOOKUP(B:B,[1]Sheet14!$G$1:$I$65536,3,0)</f>
        <v>7720.3000000000102</v>
      </c>
      <c r="BC67" s="188">
        <v>50</v>
      </c>
      <c r="BD67" s="188">
        <f t="shared" si="48"/>
        <v>7770.3000000000102</v>
      </c>
      <c r="BE67" s="188">
        <f t="shared" si="49"/>
        <v>555.77000000000999</v>
      </c>
      <c r="BF67" s="188">
        <f t="shared" si="50"/>
        <v>773.530000000001</v>
      </c>
      <c r="BG67" s="172"/>
      <c r="BH67" s="172">
        <v>2827.44</v>
      </c>
      <c r="BI67" s="172">
        <v>3110.1840000000002</v>
      </c>
      <c r="BJ67" s="172">
        <v>3392.9279999999999</v>
      </c>
      <c r="BK67" s="172">
        <v>3</v>
      </c>
      <c r="BL67" s="172">
        <v>3392.9279999999999</v>
      </c>
      <c r="BM67" s="188">
        <f>VLOOKUP(B:B,[1]Sheet17!$E$1:$F$65536,2,0)</f>
        <v>3655</v>
      </c>
      <c r="BN67" s="188">
        <f t="shared" si="51"/>
        <v>827.56</v>
      </c>
      <c r="BO67" s="188">
        <f t="shared" si="52"/>
        <v>262.072</v>
      </c>
      <c r="BP67" s="188">
        <f>BM67*0.25</f>
        <v>913.75</v>
      </c>
      <c r="BQ67" s="172"/>
      <c r="BR67" s="172">
        <v>25188.3</v>
      </c>
      <c r="BS67" s="172">
        <v>27707.13</v>
      </c>
      <c r="BT67" s="172">
        <v>30225.96</v>
      </c>
      <c r="BU67" s="172">
        <v>1</v>
      </c>
      <c r="BV67" s="172">
        <v>25188.3</v>
      </c>
      <c r="BW67" s="188">
        <f>VLOOKUP(B:B,[2]Sheet1!$G$1:$H$65536,2,0)</f>
        <v>19337.53</v>
      </c>
      <c r="BX67" s="188">
        <f t="shared" si="53"/>
        <v>-5850.77</v>
      </c>
      <c r="BY67" s="188">
        <f t="shared" si="54"/>
        <v>-5850.77</v>
      </c>
      <c r="BZ67" s="166">
        <f t="shared" si="67"/>
        <v>1547.0024000000001</v>
      </c>
      <c r="CA67" s="174">
        <f>BX67*0.05</f>
        <v>-292.5385</v>
      </c>
      <c r="CB67" s="188">
        <f t="shared" si="55"/>
        <v>4469.2824000000001</v>
      </c>
      <c r="CC67" s="218">
        <f>VLOOKUP(B:B,[3]门店完成率!$A:$Y,25,0)</f>
        <v>0.91523880645161304</v>
      </c>
      <c r="CD67" s="188">
        <f t="shared" si="68"/>
        <v>4279.8715447355999</v>
      </c>
      <c r="CE67" s="188">
        <f t="shared" si="59"/>
        <v>4279.87</v>
      </c>
      <c r="CF67" s="188">
        <f t="shared" si="56"/>
        <v>-358.56349999999998</v>
      </c>
      <c r="CG67" s="188">
        <f t="shared" si="60"/>
        <v>-358.56</v>
      </c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</row>
    <row r="68" spans="1:241" s="154" customFormat="1" ht="13.15" customHeight="1">
      <c r="A68" s="172">
        <v>63</v>
      </c>
      <c r="B68" s="172">
        <v>571</v>
      </c>
      <c r="C68" s="172" t="s">
        <v>110</v>
      </c>
      <c r="D68" s="172" t="s">
        <v>99</v>
      </c>
      <c r="E68" s="181">
        <v>4</v>
      </c>
      <c r="F68" s="181">
        <v>5</v>
      </c>
      <c r="G68" s="181">
        <v>6</v>
      </c>
      <c r="H68" s="181">
        <v>1</v>
      </c>
      <c r="I68" s="181">
        <v>4</v>
      </c>
      <c r="J68" s="165">
        <v>12</v>
      </c>
      <c r="K68" s="165">
        <f>VLOOKUP(B:B,[5]Sheet1!$I$1:$K$65536,3,0)</f>
        <v>0</v>
      </c>
      <c r="L68" s="165">
        <f>VLOOKUP(B:B,[5]Sheet1!$I$1:$M$65536,5,0)</f>
        <v>12</v>
      </c>
      <c r="M68" s="165">
        <f>VLOOKUP(B:B,[5]Sheet1!$I$1:$N$65536,6,0)</f>
        <v>0</v>
      </c>
      <c r="N68" s="165">
        <f t="shared" ref="N68:N103" si="69">J68-E68</f>
        <v>8</v>
      </c>
      <c r="O68" s="165">
        <f t="shared" ref="O68:O103" si="70">J68-I68</f>
        <v>8</v>
      </c>
      <c r="P68" s="165">
        <f>K68*90+L68*15+M68*40</f>
        <v>180</v>
      </c>
      <c r="Q68" s="165"/>
      <c r="R68" s="193">
        <v>3613</v>
      </c>
      <c r="S68" s="194">
        <v>3974.3</v>
      </c>
      <c r="T68" s="194">
        <v>4335.6000000000004</v>
      </c>
      <c r="U68" s="194">
        <v>1</v>
      </c>
      <c r="V68" s="193">
        <v>3613</v>
      </c>
      <c r="W68" s="188">
        <f>VLOOKUP(B:B,[1]Sheet1!$F$1:$G$65536,2,0)</f>
        <v>2460.63</v>
      </c>
      <c r="X68" s="188">
        <f t="shared" ref="X68:X103" si="71">W68-R68</f>
        <v>-1152.3699999999999</v>
      </c>
      <c r="Y68" s="188">
        <f t="shared" ref="Y68:Y103" si="72">W68-V68</f>
        <v>-1152.3699999999999</v>
      </c>
      <c r="Z68" s="193"/>
      <c r="AA68" s="197">
        <f>X68*0.05</f>
        <v>-57.618499999999997</v>
      </c>
      <c r="AB68" s="181">
        <v>258</v>
      </c>
      <c r="AC68" s="203">
        <v>284</v>
      </c>
      <c r="AD68" s="203">
        <v>310</v>
      </c>
      <c r="AE68" s="204">
        <v>3</v>
      </c>
      <c r="AF68" s="205">
        <v>310</v>
      </c>
      <c r="AG68" s="206">
        <f>VLOOKUP(B:B,[1]Sheet3!$G$1:$H$65536,2,0)</f>
        <v>197</v>
      </c>
      <c r="AH68" s="206">
        <f>VLOOKUP(B:B,[1]Sheet5!$E$1:$F$65536,2,0)</f>
        <v>36</v>
      </c>
      <c r="AI68" s="206">
        <f>VLOOKUP(B:B,[1]Sheet8!$G$1:$H$65536,2,0)</f>
        <v>92</v>
      </c>
      <c r="AJ68" s="206">
        <f t="shared" ref="AJ68:AJ103" si="73">AG68+AH68+AI68</f>
        <v>325</v>
      </c>
      <c r="AK68" s="196">
        <f t="shared" ref="AK68:AK103" si="74">AJ68-AB68</f>
        <v>67</v>
      </c>
      <c r="AL68" s="196">
        <f t="shared" ref="AL68:AL103" si="75">AJ68-AF68</f>
        <v>15</v>
      </c>
      <c r="AM68" s="196">
        <f>AG68*2.5+AH68*1.5+AI68*4</f>
        <v>914.5</v>
      </c>
      <c r="AN68" s="205"/>
      <c r="AO68" s="172">
        <v>1529.1</v>
      </c>
      <c r="AP68" s="172">
        <v>1682.01</v>
      </c>
      <c r="AQ68" s="172">
        <v>1834.92</v>
      </c>
      <c r="AR68" s="172">
        <v>1</v>
      </c>
      <c r="AS68" s="172">
        <v>1529.1</v>
      </c>
      <c r="AT68" s="188">
        <f>VLOOKUP(B:B,[1]Sheet10!$F$1:$G$65536,2,0)</f>
        <v>671.3</v>
      </c>
      <c r="AU68" s="188">
        <f>VLOOKUP(B:B,[1]Sheet12!$G$1:$H$65536,2,0)</f>
        <v>192.6</v>
      </c>
      <c r="AV68" s="188">
        <f t="shared" ref="AV68:AV103" si="76">AT68+AU68</f>
        <v>863.9</v>
      </c>
      <c r="AW68" s="188">
        <f t="shared" ref="AW68:AW103" si="77">AV68-AO68</f>
        <v>-665.2</v>
      </c>
      <c r="AX68" s="188">
        <f t="shared" ref="AX68:AX103" si="78">AV68-AS68</f>
        <v>-665.2</v>
      </c>
      <c r="AY68" s="172"/>
      <c r="AZ68" s="188">
        <f>AW68*0.04</f>
        <v>-26.608000000000001</v>
      </c>
      <c r="BA68" s="193">
        <f>VLOOKUP(B:B,[11]查询时间段分门店销售明细!$B$1:$X$65536,23,0)</f>
        <v>12464.6</v>
      </c>
      <c r="BB68" s="188">
        <f>VLOOKUP(B:B,[1]Sheet14!$G$1:$I$65536,3,0)</f>
        <v>15091.459999999901</v>
      </c>
      <c r="BC68" s="188">
        <v>75.430000000000007</v>
      </c>
      <c r="BD68" s="188">
        <f t="shared" ref="BD68:BD103" si="79">BB68+BC68</f>
        <v>15166.889999999899</v>
      </c>
      <c r="BE68" s="188">
        <f t="shared" ref="BE68:BE103" si="80">BD68-BA68</f>
        <v>2702.2899999998999</v>
      </c>
      <c r="BF68" s="188">
        <f t="shared" ref="BF68:BF103" si="81">BB68*0.1+BC68*0.03</f>
        <v>1511.4088999999899</v>
      </c>
      <c r="BG68" s="172"/>
      <c r="BH68" s="172">
        <v>3996.72</v>
      </c>
      <c r="BI68" s="172">
        <v>4396.3919999999998</v>
      </c>
      <c r="BJ68" s="172">
        <v>4796.0640000000003</v>
      </c>
      <c r="BK68" s="172">
        <v>1</v>
      </c>
      <c r="BL68" s="172">
        <v>3996.72</v>
      </c>
      <c r="BM68" s="188">
        <f>VLOOKUP(B:B,[1]Sheet17!$E$1:$F$65536,2,0)</f>
        <v>900</v>
      </c>
      <c r="BN68" s="188">
        <f t="shared" ref="BN68:BN103" si="82">BM68-BH68</f>
        <v>-3096.72</v>
      </c>
      <c r="BO68" s="188">
        <f t="shared" ref="BO68:BO103" si="83">BM68-BL68</f>
        <v>-3096.72</v>
      </c>
      <c r="BP68" s="188">
        <f>BM68*0.15</f>
        <v>135</v>
      </c>
      <c r="BQ68" s="188">
        <f>BN68*0.05</f>
        <v>-154.83600000000001</v>
      </c>
      <c r="BR68" s="172">
        <v>36903.599999999999</v>
      </c>
      <c r="BS68" s="172">
        <v>40593.96</v>
      </c>
      <c r="BT68" s="172">
        <v>44284.32</v>
      </c>
      <c r="BU68" s="172">
        <v>2</v>
      </c>
      <c r="BV68" s="172">
        <v>40593.96</v>
      </c>
      <c r="BW68" s="188">
        <f>VLOOKUP(B:B,[2]Sheet1!$G$1:$H$65536,2,0)</f>
        <v>36959.79</v>
      </c>
      <c r="BX68" s="188">
        <f t="shared" ref="BX68:BX103" si="84">BW68-BR68</f>
        <v>56.1900000000023</v>
      </c>
      <c r="BY68" s="188">
        <f t="shared" ref="BY68:BY103" si="85">BW68-BV68</f>
        <v>-3634.17</v>
      </c>
      <c r="BZ68" s="166">
        <f t="shared" si="67"/>
        <v>2956.7831999999999</v>
      </c>
      <c r="CA68" s="174"/>
      <c r="CB68" s="188">
        <f t="shared" ref="CB68:CB103" si="86">P68+Z68+AM68+AY68+BF68+BP68+BZ68</f>
        <v>5697.6920999999902</v>
      </c>
      <c r="CC68" s="218">
        <f>VLOOKUP(B:B,[3]门店完成率!$A:$Y,25,0)</f>
        <v>0.89980791788856296</v>
      </c>
      <c r="CD68" s="188">
        <f t="shared" si="68"/>
        <v>5412.2602826355496</v>
      </c>
      <c r="CE68" s="188">
        <f t="shared" si="59"/>
        <v>5412.26</v>
      </c>
      <c r="CF68" s="188">
        <f t="shared" ref="CF68:CF103" si="87">Q68+AA68+AN68+AZ68+BG68+BQ68+CA68</f>
        <v>-239.0625</v>
      </c>
      <c r="CG68" s="188">
        <f t="shared" si="60"/>
        <v>-239.06</v>
      </c>
    </row>
    <row r="69" spans="1:241" s="154" customFormat="1" ht="13.15" customHeight="1">
      <c r="A69" s="172">
        <v>64</v>
      </c>
      <c r="B69" s="172">
        <v>573</v>
      </c>
      <c r="C69" s="172" t="s">
        <v>111</v>
      </c>
      <c r="D69" s="172" t="s">
        <v>99</v>
      </c>
      <c r="E69" s="173">
        <v>2</v>
      </c>
      <c r="F69" s="181">
        <v>3</v>
      </c>
      <c r="G69" s="181">
        <v>4</v>
      </c>
      <c r="H69" s="176">
        <v>1</v>
      </c>
      <c r="I69" s="181">
        <v>2</v>
      </c>
      <c r="J69" s="165">
        <v>0</v>
      </c>
      <c r="K69" s="165">
        <v>0</v>
      </c>
      <c r="L69" s="165">
        <v>0</v>
      </c>
      <c r="M69" s="165">
        <v>0</v>
      </c>
      <c r="N69" s="165">
        <f t="shared" si="69"/>
        <v>-2</v>
      </c>
      <c r="O69" s="165">
        <f t="shared" si="70"/>
        <v>-2</v>
      </c>
      <c r="P69" s="165">
        <f>K69*70+L69*15+M69*40</f>
        <v>0</v>
      </c>
      <c r="Q69" s="165">
        <f>N69*15</f>
        <v>-30</v>
      </c>
      <c r="R69" s="193">
        <v>1241</v>
      </c>
      <c r="S69" s="194">
        <v>1365.1</v>
      </c>
      <c r="T69" s="194">
        <v>1489.2</v>
      </c>
      <c r="U69" s="176">
        <v>1</v>
      </c>
      <c r="V69" s="193">
        <v>1241</v>
      </c>
      <c r="W69" s="188">
        <f>VLOOKUP(B:B,[1]Sheet1!$F$1:$G$65536,2,0)</f>
        <v>1575.32</v>
      </c>
      <c r="X69" s="188">
        <f t="shared" si="71"/>
        <v>334.32</v>
      </c>
      <c r="Y69" s="188">
        <f t="shared" si="72"/>
        <v>334.32</v>
      </c>
      <c r="Z69" s="188">
        <f>W69*0.07</f>
        <v>110.2724</v>
      </c>
      <c r="AA69" s="193"/>
      <c r="AB69" s="181">
        <v>79</v>
      </c>
      <c r="AC69" s="203">
        <v>87</v>
      </c>
      <c r="AD69" s="203">
        <v>95</v>
      </c>
      <c r="AE69" s="176">
        <v>1</v>
      </c>
      <c r="AF69" s="205">
        <v>79</v>
      </c>
      <c r="AG69" s="206">
        <f>VLOOKUP(B:B,[1]Sheet3!$G$1:$H$65536,2,0)</f>
        <v>62</v>
      </c>
      <c r="AH69" s="206">
        <f>VLOOKUP(B:B,[1]Sheet5!$E$1:$F$65536,2,0)</f>
        <v>15</v>
      </c>
      <c r="AI69" s="206">
        <f>VLOOKUP(B:B,[1]Sheet8!$G$1:$H$65536,2,0)</f>
        <v>26</v>
      </c>
      <c r="AJ69" s="206">
        <f t="shared" si="73"/>
        <v>103</v>
      </c>
      <c r="AK69" s="196">
        <f t="shared" si="74"/>
        <v>24</v>
      </c>
      <c r="AL69" s="196">
        <f t="shared" si="75"/>
        <v>24</v>
      </c>
      <c r="AM69" s="196">
        <f>AG69*1+AH69*0.5+AI69*2</f>
        <v>121.5</v>
      </c>
      <c r="AN69" s="205"/>
      <c r="AO69" s="172">
        <v>441</v>
      </c>
      <c r="AP69" s="172">
        <v>485.1</v>
      </c>
      <c r="AQ69" s="172">
        <v>529.20000000000005</v>
      </c>
      <c r="AR69" s="69">
        <v>1</v>
      </c>
      <c r="AS69" s="172">
        <v>441</v>
      </c>
      <c r="AT69" s="188">
        <f>VLOOKUP(B:B,[1]Sheet10!$F$1:$G$65536,2,0)</f>
        <v>105.4</v>
      </c>
      <c r="AU69" s="188">
        <f>VLOOKUP(B:B,[1]Sheet12!$G$1:$H$65536,2,0)</f>
        <v>142.38999999999999</v>
      </c>
      <c r="AV69" s="188">
        <f t="shared" si="76"/>
        <v>247.79</v>
      </c>
      <c r="AW69" s="188">
        <f t="shared" si="77"/>
        <v>-193.21</v>
      </c>
      <c r="AX69" s="188">
        <f t="shared" si="78"/>
        <v>-193.21</v>
      </c>
      <c r="AY69" s="172"/>
      <c r="AZ69" s="188">
        <f>AW69*0.04</f>
        <v>-7.7283999999999997</v>
      </c>
      <c r="BA69" s="193">
        <f>VLOOKUP(B:B,[10]查询时间段分门店销售明细!$B$1:$X$65536,23,0)</f>
        <v>3021.56</v>
      </c>
      <c r="BB69" s="188">
        <f>VLOOKUP(B:B,[1]Sheet14!$G$1:$I$65536,3,0)</f>
        <v>3545.6000000000099</v>
      </c>
      <c r="BC69" s="188">
        <v>33.299999999999997</v>
      </c>
      <c r="BD69" s="188">
        <f t="shared" si="79"/>
        <v>3578.9000000000101</v>
      </c>
      <c r="BE69" s="188">
        <f t="shared" si="80"/>
        <v>557.34000000001004</v>
      </c>
      <c r="BF69" s="188">
        <f t="shared" si="81"/>
        <v>355.55900000000099</v>
      </c>
      <c r="BG69" s="172"/>
      <c r="BH69" s="172">
        <v>1246.32</v>
      </c>
      <c r="BI69" s="172">
        <v>1370.952</v>
      </c>
      <c r="BJ69" s="172">
        <v>1495.5840000000001</v>
      </c>
      <c r="BK69" s="69">
        <v>1</v>
      </c>
      <c r="BL69" s="172">
        <v>1246.32</v>
      </c>
      <c r="BM69" s="188">
        <f>VLOOKUP(B:B,[1]Sheet17!$E$1:$F$65536,2,0)</f>
        <v>486.6</v>
      </c>
      <c r="BN69" s="188">
        <f t="shared" si="82"/>
        <v>-759.72</v>
      </c>
      <c r="BO69" s="188">
        <f t="shared" si="83"/>
        <v>-759.72</v>
      </c>
      <c r="BP69" s="188">
        <f>BM69*0.15</f>
        <v>72.989999999999995</v>
      </c>
      <c r="BQ69" s="188">
        <f>BN69*0.05</f>
        <v>-37.985999999999997</v>
      </c>
      <c r="BR69" s="172">
        <v>11430.9</v>
      </c>
      <c r="BS69" s="172">
        <v>12573.99</v>
      </c>
      <c r="BT69" s="172">
        <v>13717.08</v>
      </c>
      <c r="BU69" s="69">
        <v>1</v>
      </c>
      <c r="BV69" s="172">
        <v>11430.9</v>
      </c>
      <c r="BW69" s="188">
        <f>VLOOKUP(B:B,[2]Sheet1!$G$1:$H$65536,2,0)</f>
        <v>8791.7999999999993</v>
      </c>
      <c r="BX69" s="188">
        <f t="shared" si="84"/>
        <v>-2639.1</v>
      </c>
      <c r="BY69" s="188">
        <f t="shared" si="85"/>
        <v>-2639.1</v>
      </c>
      <c r="BZ69" s="166">
        <f t="shared" si="67"/>
        <v>703.34400000000005</v>
      </c>
      <c r="CA69" s="174">
        <f>BX69*0.05</f>
        <v>-131.95500000000001</v>
      </c>
      <c r="CB69" s="188">
        <f t="shared" si="86"/>
        <v>1363.6654000000001</v>
      </c>
      <c r="CC69" s="218">
        <f>VLOOKUP(B:B,[3]门店完成率!$A:$Y,25,0)</f>
        <v>0.90363909370199702</v>
      </c>
      <c r="CD69" s="188">
        <f t="shared" si="68"/>
        <v>1297.96338308439</v>
      </c>
      <c r="CE69" s="188">
        <f t="shared" si="59"/>
        <v>1297.96</v>
      </c>
      <c r="CF69" s="188">
        <f t="shared" si="87"/>
        <v>-207.6694</v>
      </c>
      <c r="CG69" s="188">
        <f t="shared" si="60"/>
        <v>-207.67</v>
      </c>
    </row>
    <row r="70" spans="1:241" s="154" customFormat="1" ht="13.9" customHeight="1">
      <c r="A70" s="172">
        <v>65</v>
      </c>
      <c r="B70" s="172">
        <v>584</v>
      </c>
      <c r="C70" s="172" t="s">
        <v>112</v>
      </c>
      <c r="D70" s="172" t="s">
        <v>99</v>
      </c>
      <c r="E70" s="173">
        <v>2</v>
      </c>
      <c r="F70" s="173">
        <v>3</v>
      </c>
      <c r="G70" s="173">
        <v>4</v>
      </c>
      <c r="H70" s="173">
        <v>1</v>
      </c>
      <c r="I70" s="173">
        <v>2</v>
      </c>
      <c r="J70" s="165">
        <v>6</v>
      </c>
      <c r="K70" s="165">
        <f>VLOOKUP(B:B,[5]Sheet1!$I$1:$K$65536,3,0)</f>
        <v>0</v>
      </c>
      <c r="L70" s="165">
        <f>VLOOKUP(B:B,[5]Sheet1!$I$1:$M$65536,5,0)</f>
        <v>6</v>
      </c>
      <c r="M70" s="165">
        <f>VLOOKUP(B:B,[5]Sheet1!$I$1:$N$65536,6,0)</f>
        <v>0</v>
      </c>
      <c r="N70" s="165">
        <f t="shared" si="69"/>
        <v>4</v>
      </c>
      <c r="O70" s="165">
        <f t="shared" si="70"/>
        <v>4</v>
      </c>
      <c r="P70" s="165">
        <f>K70*90+L70*15+M70*40</f>
        <v>90</v>
      </c>
      <c r="Q70" s="165"/>
      <c r="R70" s="190">
        <v>1376</v>
      </c>
      <c r="S70" s="11">
        <v>1513.6</v>
      </c>
      <c r="T70" s="11">
        <v>1651.2</v>
      </c>
      <c r="U70" s="11">
        <v>1</v>
      </c>
      <c r="V70" s="190">
        <v>1376</v>
      </c>
      <c r="W70" s="188">
        <f>VLOOKUP(B:B,[1]Sheet1!$F$1:$G$65536,2,0)</f>
        <v>1865.08</v>
      </c>
      <c r="X70" s="188">
        <f t="shared" si="71"/>
        <v>489.08</v>
      </c>
      <c r="Y70" s="188">
        <f t="shared" si="72"/>
        <v>489.08</v>
      </c>
      <c r="Z70" s="188">
        <f>W70*0.07</f>
        <v>130.5556</v>
      </c>
      <c r="AA70" s="190"/>
      <c r="AB70" s="173">
        <v>58</v>
      </c>
      <c r="AC70" s="198">
        <v>64</v>
      </c>
      <c r="AD70" s="198">
        <v>70</v>
      </c>
      <c r="AE70" s="178">
        <v>1</v>
      </c>
      <c r="AF70" s="199">
        <v>58</v>
      </c>
      <c r="AG70" s="206">
        <f>VLOOKUP(B:B,[1]Sheet3!$G$1:$H$65536,2,0)</f>
        <v>31</v>
      </c>
      <c r="AH70" s="206">
        <f>VLOOKUP(B:B,[1]Sheet5!$E$1:$F$65536,2,0)</f>
        <v>4</v>
      </c>
      <c r="AI70" s="206">
        <f>VLOOKUP(B:B,[1]Sheet8!$G$1:$H$65536,2,0)</f>
        <v>26</v>
      </c>
      <c r="AJ70" s="206">
        <f t="shared" si="73"/>
        <v>61</v>
      </c>
      <c r="AK70" s="196">
        <f t="shared" si="74"/>
        <v>3</v>
      </c>
      <c r="AL70" s="196">
        <f t="shared" si="75"/>
        <v>3</v>
      </c>
      <c r="AM70" s="196">
        <f>AG70*1+AH70*0.5+AI70*2</f>
        <v>85</v>
      </c>
      <c r="AN70" s="199"/>
      <c r="AO70" s="172">
        <v>313.2</v>
      </c>
      <c r="AP70" s="172">
        <v>344.52</v>
      </c>
      <c r="AQ70" s="172">
        <v>375.84</v>
      </c>
      <c r="AR70" s="172">
        <v>1</v>
      </c>
      <c r="AS70" s="172">
        <v>313.2</v>
      </c>
      <c r="AT70" s="188">
        <v>0</v>
      </c>
      <c r="AU70" s="188">
        <f>VLOOKUP(B:B,[1]Sheet12!$G$1:$H$65536,2,0)</f>
        <v>114</v>
      </c>
      <c r="AV70" s="188">
        <v>0</v>
      </c>
      <c r="AW70" s="188">
        <f t="shared" si="77"/>
        <v>-313.2</v>
      </c>
      <c r="AX70" s="188">
        <f t="shared" si="78"/>
        <v>-313.2</v>
      </c>
      <c r="AY70" s="172"/>
      <c r="AZ70" s="188">
        <f>AW70*0.04</f>
        <v>-12.528</v>
      </c>
      <c r="BA70" s="190">
        <f>VLOOKUP(B:B,[10]查询时间段分门店销售明细!$B$1:$X$65536,23,0)</f>
        <v>3610.59</v>
      </c>
      <c r="BB70" s="188">
        <f>VLOOKUP(B:B,[1]Sheet14!$G$1:$I$65536,3,0)</f>
        <v>3702.4</v>
      </c>
      <c r="BC70" s="188">
        <v>92.69</v>
      </c>
      <c r="BD70" s="188">
        <f t="shared" si="79"/>
        <v>3795.09</v>
      </c>
      <c r="BE70" s="188">
        <f t="shared" si="80"/>
        <v>184.5</v>
      </c>
      <c r="BF70" s="188">
        <f t="shared" si="81"/>
        <v>373.02069999999998</v>
      </c>
      <c r="BG70" s="172"/>
      <c r="BH70" s="172">
        <v>1031.76</v>
      </c>
      <c r="BI70" s="172">
        <v>1134.9359999999999</v>
      </c>
      <c r="BJ70" s="172">
        <v>1238.1120000000001</v>
      </c>
      <c r="BK70" s="172">
        <v>1</v>
      </c>
      <c r="BL70" s="172">
        <v>1031.76</v>
      </c>
      <c r="BM70" s="188">
        <f>VLOOKUP(B:B,[1]Sheet17!$E$1:$F$65536,2,0)</f>
        <v>526.84</v>
      </c>
      <c r="BN70" s="188">
        <f t="shared" si="82"/>
        <v>-504.92</v>
      </c>
      <c r="BO70" s="188">
        <f t="shared" si="83"/>
        <v>-504.92</v>
      </c>
      <c r="BP70" s="188">
        <f>BM70*0.15</f>
        <v>79.025999999999996</v>
      </c>
      <c r="BQ70" s="188">
        <f>BN70*0.05</f>
        <v>-25.245999999999999</v>
      </c>
      <c r="BR70" s="172">
        <v>6723</v>
      </c>
      <c r="BS70" s="172">
        <v>7395.3</v>
      </c>
      <c r="BT70" s="172">
        <v>8067.6</v>
      </c>
      <c r="BU70" s="172">
        <v>2</v>
      </c>
      <c r="BV70" s="172">
        <v>7395.3</v>
      </c>
      <c r="BW70" s="188">
        <f>VLOOKUP(B:B,[2]Sheet1!$G$1:$H$65536,2,0)</f>
        <v>8461.8799999999992</v>
      </c>
      <c r="BX70" s="188">
        <f t="shared" si="84"/>
        <v>1738.88</v>
      </c>
      <c r="BY70" s="188">
        <f t="shared" si="85"/>
        <v>1066.58</v>
      </c>
      <c r="BZ70" s="188">
        <f>BW70*0.1</f>
        <v>846.18799999999999</v>
      </c>
      <c r="CA70" s="172"/>
      <c r="CB70" s="188">
        <f t="shared" si="86"/>
        <v>1603.7902999999999</v>
      </c>
      <c r="CC70" s="218">
        <f>VLOOKUP(B:B,[3]门店完成率!$A:$Y,25,0)</f>
        <v>0.96889254480286702</v>
      </c>
      <c r="CD70" s="188">
        <f t="shared" si="68"/>
        <v>1578.8453825485799</v>
      </c>
      <c r="CE70" s="188">
        <f t="shared" si="59"/>
        <v>1578.85</v>
      </c>
      <c r="CF70" s="188">
        <f t="shared" si="87"/>
        <v>-37.774000000000001</v>
      </c>
      <c r="CG70" s="188">
        <f t="shared" si="60"/>
        <v>-37.770000000000003</v>
      </c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</row>
    <row r="71" spans="1:241" s="154" customFormat="1" ht="14.1" customHeight="1">
      <c r="A71" s="172">
        <v>66</v>
      </c>
      <c r="B71" s="172">
        <v>737</v>
      </c>
      <c r="C71" s="172" t="s">
        <v>113</v>
      </c>
      <c r="D71" s="172" t="s">
        <v>99</v>
      </c>
      <c r="E71" s="181">
        <v>2</v>
      </c>
      <c r="F71" s="181">
        <v>3</v>
      </c>
      <c r="G71" s="181">
        <v>4</v>
      </c>
      <c r="H71" s="181">
        <v>1</v>
      </c>
      <c r="I71" s="181">
        <v>2</v>
      </c>
      <c r="J71" s="165">
        <v>0</v>
      </c>
      <c r="K71" s="165">
        <f>VLOOKUP(B:B,[5]Sheet1!$I$1:$K$65536,3,0)</f>
        <v>0</v>
      </c>
      <c r="L71" s="165">
        <f>VLOOKUP(B:B,[5]Sheet1!$I$1:$M$65536,5,0)</f>
        <v>0</v>
      </c>
      <c r="M71" s="165">
        <f>VLOOKUP(B:B,[5]Sheet1!$I$1:$N$65536,6,0)</f>
        <v>0</v>
      </c>
      <c r="N71" s="165">
        <f t="shared" si="69"/>
        <v>-2</v>
      </c>
      <c r="O71" s="165">
        <f t="shared" si="70"/>
        <v>-2</v>
      </c>
      <c r="P71" s="165">
        <f>K71*70+L71*15+M71*40</f>
        <v>0</v>
      </c>
      <c r="Q71" s="165">
        <f>N71*15</f>
        <v>-30</v>
      </c>
      <c r="R71" s="193">
        <v>1769</v>
      </c>
      <c r="S71" s="194">
        <v>1945.9</v>
      </c>
      <c r="T71" s="194">
        <v>2122.8000000000002</v>
      </c>
      <c r="U71" s="194">
        <v>2</v>
      </c>
      <c r="V71" s="193">
        <v>1945.9</v>
      </c>
      <c r="W71" s="188">
        <f>VLOOKUP(B:B,[1]Sheet1!$F$1:$G$65536,2,0)</f>
        <v>1986.72</v>
      </c>
      <c r="X71" s="188">
        <f t="shared" si="71"/>
        <v>217.72</v>
      </c>
      <c r="Y71" s="188">
        <f t="shared" si="72"/>
        <v>40.819999999999901</v>
      </c>
      <c r="Z71" s="188">
        <f>W71*0.09</f>
        <v>178.8048</v>
      </c>
      <c r="AA71" s="193"/>
      <c r="AB71" s="181">
        <v>103</v>
      </c>
      <c r="AC71" s="203">
        <v>113</v>
      </c>
      <c r="AD71" s="203">
        <v>124</v>
      </c>
      <c r="AE71" s="204">
        <v>3</v>
      </c>
      <c r="AF71" s="205">
        <v>124</v>
      </c>
      <c r="AG71" s="206">
        <f>VLOOKUP(B:B,[1]Sheet3!$G$1:$H$65536,2,0)</f>
        <v>93</v>
      </c>
      <c r="AH71" s="206">
        <f>VLOOKUP(B:B,[1]Sheet5!$E$1:$F$65536,2,0)</f>
        <v>21</v>
      </c>
      <c r="AI71" s="206">
        <f>VLOOKUP(B:B,[1]Sheet8!$G$1:$H$65536,2,0)</f>
        <v>111</v>
      </c>
      <c r="AJ71" s="206">
        <f t="shared" si="73"/>
        <v>225</v>
      </c>
      <c r="AK71" s="196">
        <f t="shared" si="74"/>
        <v>122</v>
      </c>
      <c r="AL71" s="196">
        <f t="shared" si="75"/>
        <v>101</v>
      </c>
      <c r="AM71" s="196">
        <f>AG71*2.5+AH71*1.5+AI71*4</f>
        <v>708</v>
      </c>
      <c r="AN71" s="205"/>
      <c r="AO71" s="172">
        <v>516.6</v>
      </c>
      <c r="AP71" s="172">
        <v>568.26</v>
      </c>
      <c r="AQ71" s="172">
        <v>619.91999999999996</v>
      </c>
      <c r="AR71" s="172">
        <v>1</v>
      </c>
      <c r="AS71" s="172">
        <v>516.6</v>
      </c>
      <c r="AT71" s="188">
        <f>VLOOKUP(B:B,[1]Sheet10!$F$1:$G$65536,2,0)</f>
        <v>605.70000000000005</v>
      </c>
      <c r="AU71" s="188">
        <f>VLOOKUP(B:B,[1]Sheet12!$G$1:$H$65536,2,0)</f>
        <v>262</v>
      </c>
      <c r="AV71" s="188">
        <f t="shared" si="76"/>
        <v>867.7</v>
      </c>
      <c r="AW71" s="188">
        <f t="shared" si="77"/>
        <v>351.1</v>
      </c>
      <c r="AX71" s="188">
        <f t="shared" si="78"/>
        <v>351.1</v>
      </c>
      <c r="AY71" s="166">
        <f>AT71*0.05+AU71*0.03</f>
        <v>38.145000000000003</v>
      </c>
      <c r="AZ71" s="172"/>
      <c r="BA71" s="193">
        <f>VLOOKUP(B:B,[11]查询时间段分门店销售明细!$B$1:$X$65536,23,0)</f>
        <v>5193.2</v>
      </c>
      <c r="BB71" s="188">
        <f>VLOOKUP(B:B,[1]Sheet14!$G$1:$I$65536,3,0)</f>
        <v>11628.6</v>
      </c>
      <c r="BC71" s="188">
        <v>79.87</v>
      </c>
      <c r="BD71" s="188">
        <f t="shared" si="79"/>
        <v>11708.47</v>
      </c>
      <c r="BE71" s="188">
        <f t="shared" si="80"/>
        <v>6515.27</v>
      </c>
      <c r="BF71" s="188">
        <f t="shared" si="81"/>
        <v>1165.2561000000001</v>
      </c>
      <c r="BG71" s="172"/>
      <c r="BH71" s="172">
        <v>1427.76</v>
      </c>
      <c r="BI71" s="172">
        <v>1570.5360000000001</v>
      </c>
      <c r="BJ71" s="172">
        <v>1713.3119999999999</v>
      </c>
      <c r="BK71" s="172">
        <v>2</v>
      </c>
      <c r="BL71" s="172">
        <v>1570.5360000000001</v>
      </c>
      <c r="BM71" s="188">
        <f>VLOOKUP(B:B,[1]Sheet17!$E$1:$F$65536,2,0)</f>
        <v>1996.75</v>
      </c>
      <c r="BN71" s="188">
        <f t="shared" si="82"/>
        <v>568.99</v>
      </c>
      <c r="BO71" s="188">
        <f t="shared" si="83"/>
        <v>426.214</v>
      </c>
      <c r="BP71" s="188">
        <f>BM71*0.2</f>
        <v>399.35</v>
      </c>
      <c r="BQ71" s="172"/>
      <c r="BR71" s="172">
        <v>11531.7</v>
      </c>
      <c r="BS71" s="172">
        <v>12684.87</v>
      </c>
      <c r="BT71" s="172">
        <v>13838.04</v>
      </c>
      <c r="BU71" s="172">
        <v>3</v>
      </c>
      <c r="BV71" s="172">
        <v>13838.04</v>
      </c>
      <c r="BW71" s="188">
        <f>VLOOKUP(B:B,[2]Sheet1!$G$1:$H$65536,2,0)</f>
        <v>14185.82</v>
      </c>
      <c r="BX71" s="188">
        <f t="shared" si="84"/>
        <v>2654.12</v>
      </c>
      <c r="BY71" s="188">
        <f t="shared" si="85"/>
        <v>347.77999999999901</v>
      </c>
      <c r="BZ71" s="166">
        <f>BW71*0.12</f>
        <v>1702.2983999999999</v>
      </c>
      <c r="CA71" s="172"/>
      <c r="CB71" s="188">
        <f t="shared" si="86"/>
        <v>4191.8543</v>
      </c>
      <c r="CC71" s="218">
        <f>VLOOKUP(B:B,[3]门店完成率!$A:$Y,25,0)</f>
        <v>1.01043698924731</v>
      </c>
      <c r="CD71" s="166">
        <f>CB71</f>
        <v>4191.8543</v>
      </c>
      <c r="CE71" s="188">
        <f t="shared" si="59"/>
        <v>4191.8500000000004</v>
      </c>
      <c r="CF71" s="188">
        <f t="shared" si="87"/>
        <v>-30</v>
      </c>
      <c r="CG71" s="188">
        <f t="shared" si="60"/>
        <v>-30</v>
      </c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</row>
    <row r="72" spans="1:241" s="154" customFormat="1" ht="13.15" customHeight="1">
      <c r="A72" s="172">
        <v>67</v>
      </c>
      <c r="B72" s="172">
        <v>546</v>
      </c>
      <c r="C72" s="172" t="s">
        <v>114</v>
      </c>
      <c r="D72" s="172" t="s">
        <v>99</v>
      </c>
      <c r="E72" s="181">
        <v>2</v>
      </c>
      <c r="F72" s="181">
        <v>3</v>
      </c>
      <c r="G72" s="181">
        <v>4</v>
      </c>
      <c r="H72" s="181">
        <v>1</v>
      </c>
      <c r="I72" s="181">
        <v>2</v>
      </c>
      <c r="J72" s="165">
        <v>2</v>
      </c>
      <c r="K72" s="165">
        <f>VLOOKUP(B:B,[5]Sheet1!$I$1:$K$65536,3,0)</f>
        <v>0</v>
      </c>
      <c r="L72" s="165">
        <f>VLOOKUP(B:B,[5]Sheet1!$I$1:$M$65536,5,0)</f>
        <v>2</v>
      </c>
      <c r="M72" s="165">
        <f>VLOOKUP(B:B,[5]Sheet1!$I$1:$N$65536,6,0)</f>
        <v>0</v>
      </c>
      <c r="N72" s="165">
        <f t="shared" si="69"/>
        <v>0</v>
      </c>
      <c r="O72" s="165">
        <f t="shared" si="70"/>
        <v>0</v>
      </c>
      <c r="P72" s="165">
        <f>K72*90+L72*15+M72*40</f>
        <v>30</v>
      </c>
      <c r="Q72" s="165"/>
      <c r="R72" s="193">
        <v>2922</v>
      </c>
      <c r="S72" s="194">
        <v>3214.2</v>
      </c>
      <c r="T72" s="194">
        <v>3506.4</v>
      </c>
      <c r="U72" s="194">
        <v>1</v>
      </c>
      <c r="V72" s="193">
        <v>2922</v>
      </c>
      <c r="W72" s="188">
        <f>VLOOKUP(B:B,[1]Sheet1!$F$1:$G$65536,2,0)</f>
        <v>3936</v>
      </c>
      <c r="X72" s="188">
        <f t="shared" si="71"/>
        <v>1014</v>
      </c>
      <c r="Y72" s="188">
        <f t="shared" si="72"/>
        <v>1014</v>
      </c>
      <c r="Z72" s="188">
        <f>W72*0.07</f>
        <v>275.52</v>
      </c>
      <c r="AA72" s="193"/>
      <c r="AB72" s="181">
        <v>176</v>
      </c>
      <c r="AC72" s="203">
        <v>194</v>
      </c>
      <c r="AD72" s="203">
        <v>211</v>
      </c>
      <c r="AE72" s="204">
        <v>3</v>
      </c>
      <c r="AF72" s="205">
        <v>211</v>
      </c>
      <c r="AG72" s="206">
        <f>VLOOKUP(B:B,[1]Sheet3!$G$1:$H$65536,2,0)</f>
        <v>119</v>
      </c>
      <c r="AH72" s="206">
        <f>VLOOKUP(B:B,[1]Sheet5!$E$1:$F$65536,2,0)</f>
        <v>33</v>
      </c>
      <c r="AI72" s="206">
        <f>VLOOKUP(B:B,[1]Sheet8!$G$1:$H$65536,2,0)</f>
        <v>287</v>
      </c>
      <c r="AJ72" s="206">
        <f t="shared" si="73"/>
        <v>439</v>
      </c>
      <c r="AK72" s="196">
        <f t="shared" si="74"/>
        <v>263</v>
      </c>
      <c r="AL72" s="196">
        <f t="shared" si="75"/>
        <v>228</v>
      </c>
      <c r="AM72" s="196">
        <f>AG72*2.5+AH72*1.5+AI72*4</f>
        <v>1495</v>
      </c>
      <c r="AN72" s="205"/>
      <c r="AO72" s="172">
        <v>817.2</v>
      </c>
      <c r="AP72" s="172">
        <v>898.92</v>
      </c>
      <c r="AQ72" s="172">
        <v>980.64</v>
      </c>
      <c r="AR72" s="172">
        <v>3</v>
      </c>
      <c r="AS72" s="172">
        <v>980.64</v>
      </c>
      <c r="AT72" s="188">
        <f>VLOOKUP(B:B,[1]Sheet10!$F$1:$G$65536,2,0)</f>
        <v>920.9</v>
      </c>
      <c r="AU72" s="188">
        <f>VLOOKUP(B:B,[1]Sheet12!$G$1:$H$65536,2,0)</f>
        <v>185</v>
      </c>
      <c r="AV72" s="188">
        <f t="shared" si="76"/>
        <v>1105.9000000000001</v>
      </c>
      <c r="AW72" s="188">
        <f t="shared" si="77"/>
        <v>288.7</v>
      </c>
      <c r="AX72" s="188">
        <f t="shared" si="78"/>
        <v>125.26</v>
      </c>
      <c r="AY72" s="168">
        <f>AT72*0.09+AU72*0.05</f>
        <v>92.131</v>
      </c>
      <c r="AZ72" s="172"/>
      <c r="BA72" s="193">
        <f>VLOOKUP(B:B,[10]查询时间段分门店销售明细!$B$1:$X$65536,23,0)</f>
        <v>16861.599999999999</v>
      </c>
      <c r="BB72" s="188">
        <f>VLOOKUP(B:B,[1]Sheet14!$G$1:$I$65536,3,0)</f>
        <v>8912.6</v>
      </c>
      <c r="BC72" s="188">
        <v>29.03</v>
      </c>
      <c r="BD72" s="188">
        <f t="shared" si="79"/>
        <v>8941.6299999999992</v>
      </c>
      <c r="BE72" s="188">
        <f t="shared" si="80"/>
        <v>-7919.97</v>
      </c>
      <c r="BF72" s="188">
        <f t="shared" si="81"/>
        <v>892.1309</v>
      </c>
      <c r="BG72" s="210">
        <f>BE72*0.03</f>
        <v>-237.59909999999999</v>
      </c>
      <c r="BH72" s="172">
        <v>2101.6799999999998</v>
      </c>
      <c r="BI72" s="172">
        <v>2311.848</v>
      </c>
      <c r="BJ72" s="172">
        <v>2522.0160000000001</v>
      </c>
      <c r="BK72" s="172">
        <v>3</v>
      </c>
      <c r="BL72" s="172">
        <v>2522.0160000000001</v>
      </c>
      <c r="BM72" s="188">
        <f>VLOOKUP(B:B,[1]Sheet17!$E$1:$F$65536,2,0)</f>
        <v>4245.59</v>
      </c>
      <c r="BN72" s="188">
        <f t="shared" si="82"/>
        <v>2143.91</v>
      </c>
      <c r="BO72" s="188">
        <f t="shared" si="83"/>
        <v>1723.5740000000001</v>
      </c>
      <c r="BP72" s="188">
        <f>BM72*0.25</f>
        <v>1061.3975</v>
      </c>
      <c r="BQ72" s="172"/>
      <c r="BR72" s="172">
        <v>24993.036</v>
      </c>
      <c r="BS72" s="172">
        <v>27492.339599999999</v>
      </c>
      <c r="BT72" s="172">
        <v>29991.643199999999</v>
      </c>
      <c r="BU72" s="172">
        <v>2</v>
      </c>
      <c r="BV72" s="172">
        <v>27492.339599999999</v>
      </c>
      <c r="BW72" s="188">
        <f>VLOOKUP(B:B,[2]Sheet1!$G$1:$H$65536,2,0)</f>
        <v>28293.13</v>
      </c>
      <c r="BX72" s="188">
        <f t="shared" si="84"/>
        <v>3300.0940000000001</v>
      </c>
      <c r="BY72" s="188">
        <f t="shared" si="85"/>
        <v>800.79040000000202</v>
      </c>
      <c r="BZ72" s="188">
        <f>BW72*0.1</f>
        <v>2829.3130000000001</v>
      </c>
      <c r="CA72" s="172"/>
      <c r="CB72" s="188">
        <f t="shared" si="86"/>
        <v>6675.4924000000001</v>
      </c>
      <c r="CC72" s="218">
        <f>VLOOKUP(B:B,[3]门店完成率!$A:$Y,25,0)</f>
        <v>0.92896725633021204</v>
      </c>
      <c r="CD72" s="188">
        <f>CB72*0.5+CB72*0.5*CC72</f>
        <v>6438.40312974059</v>
      </c>
      <c r="CE72" s="188">
        <f t="shared" si="59"/>
        <v>6438.4</v>
      </c>
      <c r="CF72" s="188">
        <f t="shared" si="87"/>
        <v>-237.59909999999999</v>
      </c>
      <c r="CG72" s="188">
        <f t="shared" si="60"/>
        <v>-237.6</v>
      </c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</row>
    <row r="73" spans="1:241" s="154" customFormat="1" ht="14.1" customHeight="1">
      <c r="A73" s="172">
        <v>68</v>
      </c>
      <c r="B73" s="172">
        <v>733</v>
      </c>
      <c r="C73" s="172" t="s">
        <v>115</v>
      </c>
      <c r="D73" s="172" t="s">
        <v>99</v>
      </c>
      <c r="E73" s="181">
        <v>2</v>
      </c>
      <c r="F73" s="181">
        <v>3</v>
      </c>
      <c r="G73" s="181">
        <v>4</v>
      </c>
      <c r="H73" s="181">
        <v>1</v>
      </c>
      <c r="I73" s="181">
        <v>2</v>
      </c>
      <c r="J73" s="165">
        <v>0</v>
      </c>
      <c r="K73" s="165">
        <v>0</v>
      </c>
      <c r="L73" s="165">
        <v>0</v>
      </c>
      <c r="M73" s="165">
        <v>0</v>
      </c>
      <c r="N73" s="165">
        <f t="shared" si="69"/>
        <v>-2</v>
      </c>
      <c r="O73" s="165">
        <f t="shared" si="70"/>
        <v>-2</v>
      </c>
      <c r="P73" s="165">
        <f>K73*70+L73*15+M73*40</f>
        <v>0</v>
      </c>
      <c r="Q73" s="165">
        <f>N73*15</f>
        <v>-30</v>
      </c>
      <c r="R73" s="193">
        <v>1158</v>
      </c>
      <c r="S73" s="194">
        <v>1273.8</v>
      </c>
      <c r="T73" s="194">
        <v>1389.6</v>
      </c>
      <c r="U73" s="194">
        <v>1</v>
      </c>
      <c r="V73" s="193">
        <v>1158</v>
      </c>
      <c r="W73" s="188">
        <f>VLOOKUP(B:B,[1]Sheet1!$F$1:$G$65536,2,0)</f>
        <v>1064.92</v>
      </c>
      <c r="X73" s="188">
        <f t="shared" si="71"/>
        <v>-93.079999999999899</v>
      </c>
      <c r="Y73" s="188">
        <f t="shared" si="72"/>
        <v>-93.079999999999899</v>
      </c>
      <c r="Z73" s="193"/>
      <c r="AA73" s="197">
        <f>X73*0.05</f>
        <v>-4.6539999999999999</v>
      </c>
      <c r="AB73" s="181">
        <v>55</v>
      </c>
      <c r="AC73" s="203">
        <v>61</v>
      </c>
      <c r="AD73" s="203">
        <v>66</v>
      </c>
      <c r="AE73" s="204">
        <v>1</v>
      </c>
      <c r="AF73" s="205">
        <v>55</v>
      </c>
      <c r="AG73" s="206">
        <f>VLOOKUP(B:B,[1]Sheet3!$G$1:$H$65536,2,0)</f>
        <v>28</v>
      </c>
      <c r="AH73" s="206">
        <f>VLOOKUP(B:B,[1]Sheet5!$E$1:$F$65536,2,0)</f>
        <v>4</v>
      </c>
      <c r="AI73" s="206">
        <v>0</v>
      </c>
      <c r="AJ73" s="206">
        <f t="shared" si="73"/>
        <v>32</v>
      </c>
      <c r="AK73" s="196">
        <f t="shared" si="74"/>
        <v>-23</v>
      </c>
      <c r="AL73" s="196">
        <f t="shared" si="75"/>
        <v>-23</v>
      </c>
      <c r="AM73" s="205"/>
      <c r="AN73" s="196">
        <f>AK73*1</f>
        <v>-23</v>
      </c>
      <c r="AO73" s="172">
        <v>295.2</v>
      </c>
      <c r="AP73" s="172">
        <v>324.72000000000003</v>
      </c>
      <c r="AQ73" s="172">
        <v>354.24</v>
      </c>
      <c r="AR73" s="172">
        <v>1</v>
      </c>
      <c r="AS73" s="172">
        <v>295.2</v>
      </c>
      <c r="AT73" s="188">
        <f>VLOOKUP(B:B,[1]Sheet10!$F$1:$G$65536,2,0)</f>
        <v>206.2</v>
      </c>
      <c r="AU73" s="188">
        <v>0</v>
      </c>
      <c r="AV73" s="188">
        <f t="shared" si="76"/>
        <v>206.2</v>
      </c>
      <c r="AW73" s="188">
        <f t="shared" si="77"/>
        <v>-89</v>
      </c>
      <c r="AX73" s="188">
        <f t="shared" si="78"/>
        <v>-89</v>
      </c>
      <c r="AY73" s="172"/>
      <c r="AZ73" s="188">
        <f>AW73*0.04</f>
        <v>-3.56</v>
      </c>
      <c r="BA73" s="193">
        <f>VLOOKUP(B:B,[11]查询时间段分门店销售明细!$B$1:$X$65536,23,0)</f>
        <v>7630.5</v>
      </c>
      <c r="BB73" s="188">
        <f>VLOOKUP(B:B,[1]Sheet14!$G$1:$I$65536,3,0)</f>
        <v>2153.8000000000002</v>
      </c>
      <c r="BC73" s="188">
        <v>179.75</v>
      </c>
      <c r="BD73" s="188">
        <f t="shared" si="79"/>
        <v>2333.5500000000002</v>
      </c>
      <c r="BE73" s="188">
        <f t="shared" si="80"/>
        <v>-5296.95</v>
      </c>
      <c r="BF73" s="188">
        <f t="shared" si="81"/>
        <v>220.77250000000001</v>
      </c>
      <c r="BG73" s="210">
        <f>BE73*0.03</f>
        <v>-158.9085</v>
      </c>
      <c r="BH73" s="172">
        <v>989.28</v>
      </c>
      <c r="BI73" s="172">
        <v>1088.2080000000001</v>
      </c>
      <c r="BJ73" s="172">
        <v>1187.136</v>
      </c>
      <c r="BK73" s="172">
        <v>1</v>
      </c>
      <c r="BL73" s="172">
        <v>989.28</v>
      </c>
      <c r="BM73" s="188">
        <v>0</v>
      </c>
      <c r="BN73" s="188">
        <f t="shared" si="82"/>
        <v>-989.28</v>
      </c>
      <c r="BO73" s="188">
        <f t="shared" si="83"/>
        <v>-989.28</v>
      </c>
      <c r="BP73" s="188">
        <f>BM73*0.15</f>
        <v>0</v>
      </c>
      <c r="BQ73" s="188">
        <f>BN73*0.05</f>
        <v>-49.463999999999999</v>
      </c>
      <c r="BR73" s="172">
        <v>6048.9</v>
      </c>
      <c r="BS73" s="172">
        <v>6653.79</v>
      </c>
      <c r="BT73" s="172">
        <v>7258.68</v>
      </c>
      <c r="BU73" s="172">
        <v>1</v>
      </c>
      <c r="BV73" s="172">
        <v>6048.9</v>
      </c>
      <c r="BW73" s="188">
        <f>VLOOKUP(B:B,[2]Sheet1!$G$1:$H$65536,2,0)</f>
        <v>6017.48</v>
      </c>
      <c r="BX73" s="188">
        <f t="shared" si="84"/>
        <v>-31.420000000000101</v>
      </c>
      <c r="BY73" s="188">
        <f t="shared" si="85"/>
        <v>-31.420000000000101</v>
      </c>
      <c r="BZ73" s="166">
        <f>BW73*0.08</f>
        <v>481.39839999999998</v>
      </c>
      <c r="CA73" s="174">
        <f>BX73*0.05</f>
        <v>-1.571</v>
      </c>
      <c r="CB73" s="188">
        <f t="shared" si="86"/>
        <v>702.17089999999996</v>
      </c>
      <c r="CC73" s="218">
        <f>VLOOKUP(B:B,[3]门店完成率!$A:$Y,25,0)</f>
        <v>0.92312039848197303</v>
      </c>
      <c r="CD73" s="188">
        <f>CB73*0.5+CB73*0.5*CC73</f>
        <v>675.17959050522302</v>
      </c>
      <c r="CE73" s="188">
        <f t="shared" si="59"/>
        <v>675.18</v>
      </c>
      <c r="CF73" s="188">
        <f t="shared" si="87"/>
        <v>-271.15750000000003</v>
      </c>
      <c r="CG73" s="188">
        <f t="shared" si="60"/>
        <v>-271.16000000000003</v>
      </c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</row>
    <row r="74" spans="1:241" s="154" customFormat="1" ht="12" customHeight="1">
      <c r="A74" s="172">
        <v>69</v>
      </c>
      <c r="B74" s="72">
        <v>750</v>
      </c>
      <c r="C74" s="72" t="s">
        <v>116</v>
      </c>
      <c r="D74" s="72" t="s">
        <v>99</v>
      </c>
      <c r="E74" s="181">
        <v>6</v>
      </c>
      <c r="F74" s="181">
        <v>7</v>
      </c>
      <c r="G74" s="181">
        <v>8</v>
      </c>
      <c r="H74" s="181">
        <v>1</v>
      </c>
      <c r="I74" s="181">
        <v>6</v>
      </c>
      <c r="J74" s="165">
        <v>6</v>
      </c>
      <c r="K74" s="165">
        <f>VLOOKUP(B:B,[5]Sheet1!$I$1:$K$65536,3,0)</f>
        <v>0</v>
      </c>
      <c r="L74" s="165">
        <f>VLOOKUP(B:B,[5]Sheet1!$I$1:$M$65536,5,0)</f>
        <v>6</v>
      </c>
      <c r="M74" s="165">
        <f>VLOOKUP(B:B,[5]Sheet1!$I$1:$N$65536,6,0)</f>
        <v>0</v>
      </c>
      <c r="N74" s="165">
        <f t="shared" si="69"/>
        <v>0</v>
      </c>
      <c r="O74" s="165">
        <f t="shared" si="70"/>
        <v>0</v>
      </c>
      <c r="P74" s="165">
        <f>K74*90+L74*15+M74*40</f>
        <v>90</v>
      </c>
      <c r="Q74" s="165"/>
      <c r="R74" s="193">
        <v>3418</v>
      </c>
      <c r="S74" s="194">
        <v>3759.8</v>
      </c>
      <c r="T74" s="194">
        <v>4101.6000000000004</v>
      </c>
      <c r="U74" s="194">
        <v>2</v>
      </c>
      <c r="V74" s="193">
        <v>3759.8</v>
      </c>
      <c r="W74" s="188">
        <f>VLOOKUP(B:B,[1]Sheet1!$F$1:$G$65536,2,0)</f>
        <v>5155.76</v>
      </c>
      <c r="X74" s="188">
        <f t="shared" si="71"/>
        <v>1737.76</v>
      </c>
      <c r="Y74" s="188">
        <f t="shared" si="72"/>
        <v>1395.96</v>
      </c>
      <c r="Z74" s="188">
        <f>W74*0.09</f>
        <v>464.01839999999999</v>
      </c>
      <c r="AA74" s="193"/>
      <c r="AB74" s="181">
        <v>241</v>
      </c>
      <c r="AC74" s="203">
        <v>265</v>
      </c>
      <c r="AD74" s="203">
        <v>292</v>
      </c>
      <c r="AE74" s="204">
        <v>3</v>
      </c>
      <c r="AF74" s="205">
        <v>292</v>
      </c>
      <c r="AG74" s="206">
        <f>VLOOKUP(B:B,[1]Sheet3!$G$1:$H$65536,2,0)</f>
        <v>220</v>
      </c>
      <c r="AH74" s="206">
        <f>VLOOKUP(B:B,[1]Sheet5!$E$1:$F$65536,2,0)</f>
        <v>52</v>
      </c>
      <c r="AI74" s="206">
        <f>VLOOKUP(B:B,[1]Sheet8!$G$1:$H$65536,2,0)</f>
        <v>182</v>
      </c>
      <c r="AJ74" s="206">
        <f t="shared" si="73"/>
        <v>454</v>
      </c>
      <c r="AK74" s="196">
        <f t="shared" si="74"/>
        <v>213</v>
      </c>
      <c r="AL74" s="196">
        <f t="shared" si="75"/>
        <v>162</v>
      </c>
      <c r="AM74" s="196">
        <f>AG74*2.5+AH74*1.5+AI74*4</f>
        <v>1356</v>
      </c>
      <c r="AN74" s="205"/>
      <c r="AO74" s="172">
        <v>819</v>
      </c>
      <c r="AP74" s="172">
        <v>900.9</v>
      </c>
      <c r="AQ74" s="172">
        <v>982.8</v>
      </c>
      <c r="AR74" s="172">
        <v>3</v>
      </c>
      <c r="AS74" s="172">
        <v>982.8</v>
      </c>
      <c r="AT74" s="188">
        <f>VLOOKUP(B:B,[1]Sheet10!$F$1:$G$65536,2,0)</f>
        <v>2777.66</v>
      </c>
      <c r="AU74" s="188">
        <f>VLOOKUP(B:B,[1]Sheet12!$G$1:$H$65536,2,0)</f>
        <v>465.21</v>
      </c>
      <c r="AV74" s="188">
        <f t="shared" si="76"/>
        <v>3242.87</v>
      </c>
      <c r="AW74" s="188">
        <f t="shared" si="77"/>
        <v>2423.87</v>
      </c>
      <c r="AX74" s="188">
        <f t="shared" si="78"/>
        <v>2260.0700000000002</v>
      </c>
      <c r="AY74" s="168">
        <f>AT74*0.09+AU74*0.05</f>
        <v>273.24990000000003</v>
      </c>
      <c r="AZ74" s="172"/>
      <c r="BA74" s="193">
        <f>VLOOKUP(B:B,[11]查询时间段分门店销售明细!$B$1:$X$65536,23,0)</f>
        <v>4252.79</v>
      </c>
      <c r="BB74" s="188">
        <f>VLOOKUP(B:B,[1]Sheet14!$G$1:$I$65536,3,0)</f>
        <v>7614.04000000002</v>
      </c>
      <c r="BC74" s="188">
        <v>122.87</v>
      </c>
      <c r="BD74" s="188">
        <f t="shared" si="79"/>
        <v>7736.9100000000199</v>
      </c>
      <c r="BE74" s="188">
        <f t="shared" si="80"/>
        <v>3484.1200000000199</v>
      </c>
      <c r="BF74" s="188">
        <f t="shared" si="81"/>
        <v>765.09010000000205</v>
      </c>
      <c r="BG74" s="172"/>
      <c r="BH74" s="172">
        <v>2921.6</v>
      </c>
      <c r="BI74" s="172">
        <v>3213.76</v>
      </c>
      <c r="BJ74" s="172">
        <v>3505.92</v>
      </c>
      <c r="BK74" s="172">
        <v>3</v>
      </c>
      <c r="BL74" s="172">
        <v>3505.92</v>
      </c>
      <c r="BM74" s="188">
        <f>VLOOKUP(B:B,[1]Sheet17!$E$1:$F$65536,2,0)</f>
        <v>4457.0200000000004</v>
      </c>
      <c r="BN74" s="188">
        <f t="shared" si="82"/>
        <v>1535.42</v>
      </c>
      <c r="BO74" s="188">
        <f t="shared" si="83"/>
        <v>951.1</v>
      </c>
      <c r="BP74" s="188">
        <f>BM74*0.25</f>
        <v>1114.2550000000001</v>
      </c>
      <c r="BQ74" s="172"/>
      <c r="BR74" s="172">
        <v>41004</v>
      </c>
      <c r="BS74" s="172">
        <v>44284.32</v>
      </c>
      <c r="BT74" s="172">
        <v>47827.065600000002</v>
      </c>
      <c r="BU74" s="172">
        <v>2</v>
      </c>
      <c r="BV74" s="172">
        <v>44284.32</v>
      </c>
      <c r="BW74" s="188">
        <f>VLOOKUP(B:B,[2]Sheet1!$G$1:$H$65536,2,0)</f>
        <v>48789.99</v>
      </c>
      <c r="BX74" s="188">
        <f t="shared" si="84"/>
        <v>7785.99</v>
      </c>
      <c r="BY74" s="188">
        <f t="shared" si="85"/>
        <v>4505.67</v>
      </c>
      <c r="BZ74" s="188">
        <f>BW74*0.1</f>
        <v>4878.9989999999998</v>
      </c>
      <c r="CA74" s="172"/>
      <c r="CB74" s="188">
        <f t="shared" si="86"/>
        <v>8941.6124</v>
      </c>
      <c r="CC74" s="218">
        <f>VLOOKUP(B:B,[3]门店完成率!$A:$Y,25,0)</f>
        <v>0.97303518433179703</v>
      </c>
      <c r="CD74" s="188">
        <f>CB74*0.5+CB74*0.5*CC74</f>
        <v>8821.05793492874</v>
      </c>
      <c r="CE74" s="188">
        <f t="shared" si="59"/>
        <v>8821.06</v>
      </c>
      <c r="CF74" s="188">
        <f t="shared" si="87"/>
        <v>0</v>
      </c>
      <c r="CG74" s="188">
        <f t="shared" si="60"/>
        <v>0</v>
      </c>
      <c r="FL74" s="256"/>
      <c r="FM74" s="256"/>
      <c r="FN74" s="256"/>
      <c r="FO74" s="256"/>
      <c r="FP74" s="256"/>
      <c r="FQ74" s="256"/>
      <c r="FR74" s="256"/>
      <c r="FS74" s="256"/>
      <c r="FT74" s="256"/>
      <c r="FU74" s="256"/>
      <c r="FV74" s="256"/>
      <c r="FW74" s="256"/>
      <c r="FX74" s="256"/>
      <c r="FY74" s="256"/>
      <c r="FZ74" s="256"/>
      <c r="GA74" s="256"/>
      <c r="GB74" s="256"/>
      <c r="GC74" s="256"/>
      <c r="GD74" s="256"/>
      <c r="GE74" s="256"/>
      <c r="GF74" s="256"/>
      <c r="GG74" s="256"/>
      <c r="GH74" s="256"/>
      <c r="GI74" s="256"/>
      <c r="GJ74" s="256"/>
      <c r="GK74" s="256"/>
      <c r="GL74" s="256"/>
      <c r="GM74" s="256"/>
      <c r="GN74" s="256"/>
      <c r="GO74" s="256"/>
      <c r="GP74" s="256"/>
      <c r="GQ74" s="256"/>
      <c r="GR74" s="256"/>
      <c r="GS74" s="256"/>
      <c r="GT74" s="256"/>
      <c r="GU74" s="256"/>
      <c r="GV74" s="256"/>
      <c r="GW74" s="256"/>
      <c r="GX74" s="256"/>
      <c r="GY74" s="256"/>
      <c r="GZ74" s="256"/>
      <c r="HA74" s="256"/>
      <c r="HB74" s="256"/>
      <c r="HC74" s="256"/>
      <c r="HD74" s="256"/>
      <c r="HE74" s="256"/>
    </row>
    <row r="75" spans="1:241" s="154" customFormat="1" ht="12.95" customHeight="1">
      <c r="A75" s="172">
        <v>70</v>
      </c>
      <c r="B75" s="172">
        <v>753</v>
      </c>
      <c r="C75" s="172" t="s">
        <v>117</v>
      </c>
      <c r="D75" s="72" t="s">
        <v>99</v>
      </c>
      <c r="E75" s="179">
        <v>1</v>
      </c>
      <c r="F75" s="179">
        <v>2</v>
      </c>
      <c r="G75" s="179">
        <v>3</v>
      </c>
      <c r="H75" s="179">
        <v>1</v>
      </c>
      <c r="I75" s="179">
        <v>1</v>
      </c>
      <c r="J75" s="165">
        <v>2</v>
      </c>
      <c r="K75" s="165">
        <f>VLOOKUP(B:B,[5]Sheet1!$I$1:$K$65536,3,0)</f>
        <v>0</v>
      </c>
      <c r="L75" s="165">
        <f>VLOOKUP(B:B,[5]Sheet1!$I$1:$M$65536,5,0)</f>
        <v>2</v>
      </c>
      <c r="M75" s="165">
        <f>VLOOKUP(B:B,[5]Sheet1!$I$1:$N$65536,6,0)</f>
        <v>0</v>
      </c>
      <c r="N75" s="165">
        <f t="shared" si="69"/>
        <v>1</v>
      </c>
      <c r="O75" s="165">
        <f t="shared" si="70"/>
        <v>1</v>
      </c>
      <c r="P75" s="165">
        <f>K75*90+L75*15+M75*40</f>
        <v>30</v>
      </c>
      <c r="Q75" s="165"/>
      <c r="R75" s="179">
        <v>517</v>
      </c>
      <c r="S75" s="179">
        <v>568.70000000000005</v>
      </c>
      <c r="T75" s="179">
        <v>620.4</v>
      </c>
      <c r="U75" s="179">
        <v>3</v>
      </c>
      <c r="V75" s="179">
        <v>620</v>
      </c>
      <c r="W75" s="188">
        <f>VLOOKUP(B:B,[1]Sheet1!$F$1:$G$65536,2,0)</f>
        <v>1109.6300000000001</v>
      </c>
      <c r="X75" s="188">
        <f t="shared" si="71"/>
        <v>592.63</v>
      </c>
      <c r="Y75" s="188">
        <f t="shared" si="72"/>
        <v>489.63</v>
      </c>
      <c r="Z75" s="188">
        <f>W75*0.11</f>
        <v>122.05929999999999</v>
      </c>
      <c r="AA75" s="179"/>
      <c r="AB75" s="179">
        <v>23</v>
      </c>
      <c r="AC75" s="179">
        <v>25</v>
      </c>
      <c r="AD75" s="179">
        <v>28</v>
      </c>
      <c r="AE75" s="179">
        <v>3</v>
      </c>
      <c r="AF75" s="179">
        <v>28</v>
      </c>
      <c r="AG75" s="206">
        <f>VLOOKUP(B:B,[1]Sheet3!$G$1:$H$65536,2,0)</f>
        <v>18</v>
      </c>
      <c r="AH75" s="206">
        <f>VLOOKUP(B:B,[1]Sheet5!$E$1:$F$65536,2,0)</f>
        <v>6</v>
      </c>
      <c r="AI75" s="206">
        <f>VLOOKUP(B:B,[1]Sheet8!$G$1:$H$65536,2,0)</f>
        <v>10</v>
      </c>
      <c r="AJ75" s="206">
        <f t="shared" si="73"/>
        <v>34</v>
      </c>
      <c r="AK75" s="196">
        <f t="shared" si="74"/>
        <v>11</v>
      </c>
      <c r="AL75" s="196">
        <f t="shared" si="75"/>
        <v>6</v>
      </c>
      <c r="AM75" s="196">
        <f>AG75*2.5+AH75*1.5+AI75*4</f>
        <v>94</v>
      </c>
      <c r="AN75" s="179"/>
      <c r="AO75" s="172">
        <v>180</v>
      </c>
      <c r="AP75" s="172">
        <v>198</v>
      </c>
      <c r="AQ75" s="172">
        <v>216</v>
      </c>
      <c r="AR75" s="172">
        <v>3</v>
      </c>
      <c r="AS75" s="172">
        <v>216</v>
      </c>
      <c r="AT75" s="188">
        <f>VLOOKUP(B:B,[1]Sheet10!$F$1:$G$65536,2,0)</f>
        <v>217.05</v>
      </c>
      <c r="AU75" s="188">
        <f>VLOOKUP(B:B,[1]Sheet12!$G$1:$H$65536,2,0)</f>
        <v>251.41</v>
      </c>
      <c r="AV75" s="188">
        <f t="shared" si="76"/>
        <v>468.46</v>
      </c>
      <c r="AW75" s="188">
        <f t="shared" si="77"/>
        <v>288.45999999999998</v>
      </c>
      <c r="AX75" s="188">
        <f t="shared" si="78"/>
        <v>252.46</v>
      </c>
      <c r="AY75" s="168">
        <f>AT75*0.09+AU75*0.05</f>
        <v>32.104999999999997</v>
      </c>
      <c r="AZ75" s="172"/>
      <c r="BA75" s="193">
        <v>1500</v>
      </c>
      <c r="BB75" s="188">
        <f>VLOOKUP(B:B,[1]Sheet14!$G$1:$I$65536,3,0)</f>
        <v>2047</v>
      </c>
      <c r="BC75" s="188">
        <v>81.459999999999994</v>
      </c>
      <c r="BD75" s="188">
        <f t="shared" si="79"/>
        <v>2128.46</v>
      </c>
      <c r="BE75" s="188">
        <f t="shared" si="80"/>
        <v>628.46</v>
      </c>
      <c r="BF75" s="188">
        <f t="shared" si="81"/>
        <v>207.1438</v>
      </c>
      <c r="BG75" s="172"/>
      <c r="BH75" s="172">
        <v>501.84</v>
      </c>
      <c r="BI75" s="172">
        <v>552.024</v>
      </c>
      <c r="BJ75" s="172">
        <v>602.20799999999997</v>
      </c>
      <c r="BK75" s="172">
        <v>1</v>
      </c>
      <c r="BL75" s="172">
        <v>501.84</v>
      </c>
      <c r="BM75" s="188">
        <f>VLOOKUP(B:B,[1]Sheet17!$E$1:$F$65536,2,0)</f>
        <v>317</v>
      </c>
      <c r="BN75" s="188">
        <f t="shared" si="82"/>
        <v>-184.84</v>
      </c>
      <c r="BO75" s="188">
        <f t="shared" si="83"/>
        <v>-184.84</v>
      </c>
      <c r="BP75" s="188">
        <f>BM75*0.15</f>
        <v>47.55</v>
      </c>
      <c r="BQ75" s="188">
        <f>BN75*0.05</f>
        <v>-9.2420000000000009</v>
      </c>
      <c r="BR75" s="172">
        <v>3281.5497599999999</v>
      </c>
      <c r="BS75" s="172">
        <v>3609.7047360000001</v>
      </c>
      <c r="BT75" s="172">
        <v>3937.8597119999999</v>
      </c>
      <c r="BU75" s="172">
        <v>3</v>
      </c>
      <c r="BV75" s="172">
        <v>3937.8597119999999</v>
      </c>
      <c r="BW75" s="188">
        <f>VLOOKUP(B:B,[2]Sheet1!$G$1:$H$65536,2,0)</f>
        <v>5596.42</v>
      </c>
      <c r="BX75" s="188">
        <f t="shared" si="84"/>
        <v>2314.8702400000002</v>
      </c>
      <c r="BY75" s="188">
        <f t="shared" si="85"/>
        <v>1658.5602879999999</v>
      </c>
      <c r="BZ75" s="166">
        <f>BW75*0.12</f>
        <v>671.57039999999995</v>
      </c>
      <c r="CA75" s="172"/>
      <c r="CB75" s="188">
        <f t="shared" si="86"/>
        <v>1204.4285</v>
      </c>
      <c r="CC75" s="218">
        <f>VLOOKUP(B:B,[3]门店完成率!$A:$Y,25,0)</f>
        <v>1.09534280397022</v>
      </c>
      <c r="CD75" s="166">
        <f>CB75</f>
        <v>1204.4285</v>
      </c>
      <c r="CE75" s="188">
        <f t="shared" si="59"/>
        <v>1204.43</v>
      </c>
      <c r="CF75" s="188">
        <f t="shared" si="87"/>
        <v>-9.2420000000000009</v>
      </c>
      <c r="CG75" s="188">
        <f t="shared" si="60"/>
        <v>-9.24</v>
      </c>
      <c r="FV75" s="4"/>
      <c r="FW75" s="4"/>
      <c r="FX75" s="4"/>
      <c r="FY75" s="4"/>
      <c r="FZ75" s="4"/>
    </row>
    <row r="76" spans="1:241" s="156" customFormat="1" ht="12.95" customHeight="1">
      <c r="A76" s="172">
        <v>71</v>
      </c>
      <c r="B76" s="172">
        <v>103639</v>
      </c>
      <c r="C76" s="172" t="s">
        <v>118</v>
      </c>
      <c r="D76" s="72" t="s">
        <v>99</v>
      </c>
      <c r="E76" s="181"/>
      <c r="F76" s="181"/>
      <c r="G76" s="181"/>
      <c r="H76" s="181"/>
      <c r="I76" s="181"/>
      <c r="J76" s="165">
        <v>0</v>
      </c>
      <c r="K76" s="165">
        <v>0</v>
      </c>
      <c r="L76" s="165">
        <v>0</v>
      </c>
      <c r="M76" s="165">
        <v>0</v>
      </c>
      <c r="N76" s="165">
        <f t="shared" si="69"/>
        <v>0</v>
      </c>
      <c r="O76" s="165">
        <f t="shared" si="70"/>
        <v>0</v>
      </c>
      <c r="P76" s="165">
        <f>K76*70+L76*15+M76*40</f>
        <v>0</v>
      </c>
      <c r="Q76" s="165">
        <f>N76*15</f>
        <v>0</v>
      </c>
      <c r="R76" s="193"/>
      <c r="S76" s="194"/>
      <c r="T76" s="194"/>
      <c r="U76" s="194"/>
      <c r="V76" s="193"/>
      <c r="W76" s="188">
        <f>VLOOKUP(B:B,[1]Sheet1!$F$1:$G$65536,2,0)</f>
        <v>638.51</v>
      </c>
      <c r="X76" s="188">
        <f t="shared" si="71"/>
        <v>638.51</v>
      </c>
      <c r="Y76" s="188">
        <f t="shared" si="72"/>
        <v>638.51</v>
      </c>
      <c r="Z76" s="188">
        <f>W76*0.07</f>
        <v>44.695700000000002</v>
      </c>
      <c r="AA76" s="193"/>
      <c r="AB76" s="181"/>
      <c r="AC76" s="203"/>
      <c r="AD76" s="203"/>
      <c r="AE76" s="204"/>
      <c r="AF76" s="205"/>
      <c r="AG76" s="206">
        <f>VLOOKUP(B:B,[1]Sheet3!$G$1:$H$65536,2,0)</f>
        <v>71</v>
      </c>
      <c r="AH76" s="206">
        <f>VLOOKUP(B:B,[1]Sheet5!$E$1:$F$65536,2,0)</f>
        <v>10</v>
      </c>
      <c r="AI76" s="206">
        <f>VLOOKUP(B:B,[1]Sheet8!$G$1:$H$65536,2,0)</f>
        <v>61</v>
      </c>
      <c r="AJ76" s="206">
        <f t="shared" si="73"/>
        <v>142</v>
      </c>
      <c r="AK76" s="196">
        <f t="shared" si="74"/>
        <v>142</v>
      </c>
      <c r="AL76" s="196">
        <f t="shared" si="75"/>
        <v>142</v>
      </c>
      <c r="AM76" s="196">
        <f>AG76*1+AH76*0.5+AI76*2</f>
        <v>198</v>
      </c>
      <c r="AN76" s="205"/>
      <c r="AO76" s="172"/>
      <c r="AP76" s="172"/>
      <c r="AQ76" s="172"/>
      <c r="AR76" s="172"/>
      <c r="AS76" s="172"/>
      <c r="AT76" s="188">
        <f>VLOOKUP(B:B,[1]Sheet10!$F$1:$G$65536,2,0)</f>
        <v>455.8</v>
      </c>
      <c r="AU76" s="188">
        <f>VLOOKUP(B:B,[1]Sheet12!$G$1:$H$65536,2,0)</f>
        <v>74</v>
      </c>
      <c r="AV76" s="188">
        <f t="shared" si="76"/>
        <v>529.79999999999995</v>
      </c>
      <c r="AW76" s="188">
        <f t="shared" si="77"/>
        <v>529.79999999999995</v>
      </c>
      <c r="AX76" s="188">
        <f t="shared" si="78"/>
        <v>529.79999999999995</v>
      </c>
      <c r="AY76" s="166">
        <f>AT76*0.05+AU76*0.03</f>
        <v>25.01</v>
      </c>
      <c r="AZ76" s="172"/>
      <c r="BA76" s="193"/>
      <c r="BB76" s="188">
        <f>VLOOKUP(B:B,[1]Sheet14!$G$1:$I$65536,3,0)</f>
        <v>2247.42</v>
      </c>
      <c r="BC76" s="188">
        <v>55.75</v>
      </c>
      <c r="BD76" s="188">
        <f t="shared" si="79"/>
        <v>2303.17</v>
      </c>
      <c r="BE76" s="188">
        <f t="shared" si="80"/>
        <v>2303.17</v>
      </c>
      <c r="BF76" s="188">
        <f t="shared" si="81"/>
        <v>226.4145</v>
      </c>
      <c r="BG76" s="230"/>
      <c r="BH76" s="172"/>
      <c r="BI76" s="172"/>
      <c r="BJ76" s="172"/>
      <c r="BK76" s="172"/>
      <c r="BL76" s="172"/>
      <c r="BM76" s="188">
        <f>VLOOKUP(B:B,[1]Sheet17!$E$1:$F$65536,2,0)</f>
        <v>543.1</v>
      </c>
      <c r="BN76" s="188">
        <f t="shared" si="82"/>
        <v>543.1</v>
      </c>
      <c r="BO76" s="188">
        <f t="shared" si="83"/>
        <v>543.1</v>
      </c>
      <c r="BP76" s="188">
        <f>BM76*0.15</f>
        <v>81.465000000000003</v>
      </c>
      <c r="BQ76" s="172"/>
      <c r="BR76" s="172"/>
      <c r="BS76" s="172"/>
      <c r="BT76" s="172"/>
      <c r="BU76" s="172"/>
      <c r="BV76" s="172"/>
      <c r="BW76" s="188">
        <f>VLOOKUP(B:B,[2]Sheet1!$G$1:$H$65536,2,0)</f>
        <v>3096.14</v>
      </c>
      <c r="BX76" s="188">
        <f t="shared" si="84"/>
        <v>3096.14</v>
      </c>
      <c r="BY76" s="188">
        <f t="shared" si="85"/>
        <v>3096.14</v>
      </c>
      <c r="BZ76" s="166">
        <f>BW76*0.08</f>
        <v>247.69120000000001</v>
      </c>
      <c r="CA76" s="172"/>
      <c r="CB76" s="188">
        <f t="shared" si="86"/>
        <v>823.27639999999997</v>
      </c>
      <c r="CC76" s="218">
        <f>VLOOKUP(B:B,[3]门店完成率!$A:$Y,25,0)</f>
        <v>1.10393622828784</v>
      </c>
      <c r="CD76" s="166">
        <f>CB76</f>
        <v>823.27639999999997</v>
      </c>
      <c r="CE76" s="188">
        <f t="shared" si="59"/>
        <v>823.28</v>
      </c>
      <c r="CF76" s="188">
        <f t="shared" si="87"/>
        <v>0</v>
      </c>
      <c r="CG76" s="188">
        <f t="shared" si="60"/>
        <v>0</v>
      </c>
      <c r="CH76" s="154"/>
      <c r="CI76" s="154"/>
      <c r="CJ76" s="154"/>
      <c r="CK76" s="154"/>
      <c r="CL76" s="154"/>
      <c r="CM76" s="154"/>
      <c r="CN76" s="154"/>
      <c r="CO76" s="154"/>
      <c r="CP76" s="154"/>
      <c r="CQ76" s="154"/>
      <c r="CR76" s="154"/>
      <c r="CS76" s="154"/>
      <c r="CT76" s="154"/>
      <c r="CU76" s="154"/>
      <c r="CV76" s="154"/>
      <c r="CW76" s="154"/>
      <c r="CX76" s="154"/>
      <c r="CY76" s="154"/>
      <c r="CZ76" s="154"/>
      <c r="DA76" s="154"/>
      <c r="DB76" s="154"/>
      <c r="DC76" s="154"/>
      <c r="DD76" s="154"/>
      <c r="DE76" s="154"/>
      <c r="DF76" s="154"/>
      <c r="DG76" s="154"/>
      <c r="DH76" s="154"/>
      <c r="DI76" s="154"/>
      <c r="DJ76" s="154"/>
      <c r="DK76" s="154"/>
      <c r="DL76" s="154"/>
      <c r="DM76" s="154"/>
      <c r="DN76" s="154"/>
      <c r="DO76" s="154"/>
      <c r="DP76" s="154"/>
      <c r="DQ76" s="154"/>
      <c r="DR76" s="154"/>
      <c r="DS76" s="154"/>
      <c r="DT76" s="154"/>
      <c r="DU76" s="154"/>
      <c r="DV76" s="154"/>
      <c r="DW76" s="154"/>
      <c r="DX76" s="154"/>
      <c r="DY76" s="154"/>
      <c r="DZ76" s="154"/>
      <c r="EA76" s="154"/>
      <c r="EB76" s="154"/>
      <c r="EC76" s="154"/>
      <c r="ED76" s="154"/>
      <c r="EE76" s="154"/>
      <c r="EF76" s="154"/>
      <c r="EG76" s="154"/>
      <c r="EH76" s="154"/>
      <c r="EI76" s="154"/>
      <c r="EJ76" s="154"/>
      <c r="EK76" s="154"/>
      <c r="EL76" s="154"/>
      <c r="EM76" s="154"/>
      <c r="EN76" s="154"/>
      <c r="EO76" s="154"/>
      <c r="EP76" s="154"/>
      <c r="EQ76" s="154"/>
      <c r="ER76" s="154"/>
      <c r="ES76" s="154"/>
      <c r="ET76" s="154"/>
      <c r="EU76" s="154"/>
      <c r="EV76" s="154"/>
      <c r="EW76" s="154"/>
      <c r="EX76" s="154"/>
      <c r="EY76" s="154"/>
      <c r="EZ76" s="154"/>
      <c r="FA76" s="154"/>
      <c r="FB76" s="154"/>
      <c r="FC76" s="154"/>
      <c r="FD76" s="154"/>
      <c r="FE76" s="154"/>
      <c r="FF76" s="154"/>
      <c r="FG76" s="154"/>
      <c r="FH76" s="154"/>
      <c r="FI76" s="154"/>
      <c r="FJ76" s="154"/>
      <c r="FK76" s="154"/>
      <c r="FL76" s="154"/>
      <c r="FM76" s="154"/>
      <c r="FN76" s="154"/>
      <c r="FO76" s="154"/>
      <c r="FP76" s="154"/>
      <c r="FQ76" s="154"/>
      <c r="FR76" s="154"/>
      <c r="FS76" s="154"/>
      <c r="FT76" s="154"/>
      <c r="FU76" s="154"/>
      <c r="FV76" s="4"/>
      <c r="FW76" s="4"/>
      <c r="FX76" s="4"/>
      <c r="FY76" s="4"/>
      <c r="FZ76" s="4"/>
    </row>
    <row r="77" spans="1:241" s="153" customFormat="1" ht="12.95" customHeight="1">
      <c r="A77" s="170"/>
      <c r="B77" s="170"/>
      <c r="C77" s="170"/>
      <c r="D77" s="170" t="s">
        <v>99</v>
      </c>
      <c r="E77" s="171">
        <f>SUM(E57:E76)</f>
        <v>49</v>
      </c>
      <c r="F77" s="171">
        <f>SUM(F57:F76)</f>
        <v>68</v>
      </c>
      <c r="G77" s="171">
        <f t="shared" ref="G77:AL77" si="88">SUM(G57:G76)</f>
        <v>87</v>
      </c>
      <c r="H77" s="171">
        <f t="shared" si="88"/>
        <v>20</v>
      </c>
      <c r="I77" s="171">
        <f t="shared" si="88"/>
        <v>50</v>
      </c>
      <c r="J77" s="171">
        <f t="shared" si="88"/>
        <v>55</v>
      </c>
      <c r="K77" s="171">
        <f t="shared" si="88"/>
        <v>5</v>
      </c>
      <c r="L77" s="171">
        <f t="shared" si="88"/>
        <v>46</v>
      </c>
      <c r="M77" s="171">
        <f t="shared" si="88"/>
        <v>2.66</v>
      </c>
      <c r="N77" s="171">
        <f t="shared" si="88"/>
        <v>6</v>
      </c>
      <c r="O77" s="171">
        <f t="shared" si="88"/>
        <v>5</v>
      </c>
      <c r="P77" s="171">
        <f t="shared" si="88"/>
        <v>1246.4000000000001</v>
      </c>
      <c r="Q77" s="171">
        <f t="shared" si="88"/>
        <v>-270</v>
      </c>
      <c r="R77" s="171">
        <f t="shared" si="88"/>
        <v>46455</v>
      </c>
      <c r="S77" s="171">
        <f t="shared" si="88"/>
        <v>51100.5</v>
      </c>
      <c r="T77" s="171">
        <f t="shared" si="88"/>
        <v>55746</v>
      </c>
      <c r="U77" s="171">
        <f t="shared" si="88"/>
        <v>28</v>
      </c>
      <c r="V77" s="171">
        <f t="shared" si="88"/>
        <v>48341.9</v>
      </c>
      <c r="W77" s="171">
        <f t="shared" si="88"/>
        <v>48975.79</v>
      </c>
      <c r="X77" s="171">
        <f t="shared" si="88"/>
        <v>2520.79</v>
      </c>
      <c r="Y77" s="171">
        <f t="shared" si="88"/>
        <v>633.88999999999896</v>
      </c>
      <c r="Z77" s="171">
        <f t="shared" si="88"/>
        <v>2408.0108</v>
      </c>
      <c r="AA77" s="171">
        <f t="shared" si="88"/>
        <v>-306.1155</v>
      </c>
      <c r="AB77" s="171">
        <f t="shared" si="88"/>
        <v>2351</v>
      </c>
      <c r="AC77" s="171">
        <f t="shared" si="88"/>
        <v>2586</v>
      </c>
      <c r="AD77" s="171">
        <f t="shared" si="88"/>
        <v>2827</v>
      </c>
      <c r="AE77" s="171">
        <f t="shared" si="88"/>
        <v>43</v>
      </c>
      <c r="AF77" s="171">
        <f t="shared" si="88"/>
        <v>2704</v>
      </c>
      <c r="AG77" s="171">
        <f t="shared" si="88"/>
        <v>1784</v>
      </c>
      <c r="AH77" s="171">
        <f t="shared" si="88"/>
        <v>415</v>
      </c>
      <c r="AI77" s="171">
        <f t="shared" si="88"/>
        <v>1824</v>
      </c>
      <c r="AJ77" s="171">
        <f t="shared" si="88"/>
        <v>4023</v>
      </c>
      <c r="AK77" s="171">
        <f t="shared" si="88"/>
        <v>1672</v>
      </c>
      <c r="AL77" s="171">
        <f t="shared" si="88"/>
        <v>1319</v>
      </c>
      <c r="AM77" s="171">
        <f t="shared" ref="AM77:CG77" si="89">SUM(AM57:AM76)</f>
        <v>10920</v>
      </c>
      <c r="AN77" s="171">
        <f t="shared" si="89"/>
        <v>-23</v>
      </c>
      <c r="AO77" s="171">
        <f t="shared" si="89"/>
        <v>12372.3</v>
      </c>
      <c r="AP77" s="171">
        <f t="shared" si="89"/>
        <v>13609.53</v>
      </c>
      <c r="AQ77" s="171">
        <f t="shared" si="89"/>
        <v>14846.76</v>
      </c>
      <c r="AR77" s="171">
        <f t="shared" si="89"/>
        <v>38</v>
      </c>
      <c r="AS77" s="171">
        <f t="shared" si="89"/>
        <v>13601.52</v>
      </c>
      <c r="AT77" s="171">
        <f t="shared" si="89"/>
        <v>10851.74</v>
      </c>
      <c r="AU77" s="171">
        <f t="shared" si="89"/>
        <v>4528.59</v>
      </c>
      <c r="AV77" s="171">
        <f t="shared" si="89"/>
        <v>15266.33</v>
      </c>
      <c r="AW77" s="171">
        <f t="shared" si="89"/>
        <v>2894.03</v>
      </c>
      <c r="AX77" s="171">
        <f t="shared" si="89"/>
        <v>1664.81</v>
      </c>
      <c r="AY77" s="171">
        <f t="shared" si="89"/>
        <v>742.71469999999999</v>
      </c>
      <c r="AZ77" s="171">
        <f t="shared" si="89"/>
        <v>-97.177599999999998</v>
      </c>
      <c r="BA77" s="171">
        <f t="shared" si="89"/>
        <v>131039.85</v>
      </c>
      <c r="BB77" s="171">
        <f t="shared" si="89"/>
        <v>132169.75</v>
      </c>
      <c r="BC77" s="171">
        <f t="shared" si="89"/>
        <v>3490.08</v>
      </c>
      <c r="BD77" s="171">
        <f t="shared" si="89"/>
        <v>135659.82999999999</v>
      </c>
      <c r="BE77" s="171">
        <f t="shared" si="89"/>
        <v>4619.9799999999404</v>
      </c>
      <c r="BF77" s="171">
        <f t="shared" si="89"/>
        <v>13321.6774</v>
      </c>
      <c r="BG77" s="171">
        <f t="shared" si="89"/>
        <v>-650.61239999999805</v>
      </c>
      <c r="BH77" s="171">
        <f t="shared" si="89"/>
        <v>35933.599999999999</v>
      </c>
      <c r="BI77" s="171">
        <f t="shared" si="89"/>
        <v>39526.959999999999</v>
      </c>
      <c r="BJ77" s="171">
        <f t="shared" si="89"/>
        <v>43120.32</v>
      </c>
      <c r="BK77" s="171">
        <f t="shared" si="89"/>
        <v>32</v>
      </c>
      <c r="BL77" s="171">
        <f t="shared" si="89"/>
        <v>38850.214</v>
      </c>
      <c r="BM77" s="171">
        <f t="shared" si="89"/>
        <v>31224.13</v>
      </c>
      <c r="BN77" s="171">
        <f t="shared" si="89"/>
        <v>-4709.47</v>
      </c>
      <c r="BO77" s="171">
        <f t="shared" si="89"/>
        <v>-7626.0839999999998</v>
      </c>
      <c r="BP77" s="171">
        <f t="shared" si="89"/>
        <v>6714.6469999999999</v>
      </c>
      <c r="BQ77" s="171">
        <f t="shared" si="89"/>
        <v>-675.20899999999995</v>
      </c>
      <c r="BR77" s="171">
        <f t="shared" si="89"/>
        <v>332634.78576</v>
      </c>
      <c r="BS77" s="171">
        <f t="shared" si="89"/>
        <v>365078.18433600001</v>
      </c>
      <c r="BT77" s="171">
        <f t="shared" si="89"/>
        <v>397784.00851199997</v>
      </c>
      <c r="BU77" s="171">
        <f t="shared" si="89"/>
        <v>31</v>
      </c>
      <c r="BV77" s="171">
        <f t="shared" si="89"/>
        <v>354285.84931199998</v>
      </c>
      <c r="BW77" s="171">
        <f t="shared" si="89"/>
        <v>343133.41</v>
      </c>
      <c r="BX77" s="171">
        <f t="shared" si="89"/>
        <v>10498.624239999999</v>
      </c>
      <c r="BY77" s="171">
        <f t="shared" si="89"/>
        <v>-11152.439312</v>
      </c>
      <c r="BZ77" s="171">
        <f t="shared" si="89"/>
        <v>30400.0124</v>
      </c>
      <c r="CA77" s="171">
        <f t="shared" si="89"/>
        <v>-899.18949999999995</v>
      </c>
      <c r="CB77" s="171">
        <f t="shared" si="89"/>
        <v>65753.462299999999</v>
      </c>
      <c r="CC77" s="171">
        <f t="shared" si="89"/>
        <v>19.411232371441699</v>
      </c>
      <c r="CD77" s="171">
        <f t="shared" si="89"/>
        <v>64113.010591729399</v>
      </c>
      <c r="CE77" s="171">
        <f t="shared" si="89"/>
        <v>64113.01</v>
      </c>
      <c r="CF77" s="171">
        <f t="shared" si="89"/>
        <v>-2921.3040000000001</v>
      </c>
      <c r="CG77" s="171">
        <f t="shared" si="89"/>
        <v>-2921.31</v>
      </c>
      <c r="FV77" s="160"/>
      <c r="FW77" s="160"/>
      <c r="FX77" s="160"/>
      <c r="FY77" s="160"/>
      <c r="FZ77" s="160"/>
    </row>
    <row r="78" spans="1:241" s="156" customFormat="1" ht="12.95" customHeight="1">
      <c r="A78" s="230">
        <v>72</v>
      </c>
      <c r="B78" s="230">
        <v>307</v>
      </c>
      <c r="C78" s="230" t="s">
        <v>119</v>
      </c>
      <c r="D78" s="230" t="s">
        <v>120</v>
      </c>
      <c r="E78" s="231">
        <v>56</v>
      </c>
      <c r="F78" s="231">
        <v>62</v>
      </c>
      <c r="G78" s="231">
        <v>70</v>
      </c>
      <c r="H78" s="231">
        <v>30</v>
      </c>
      <c r="I78" s="231">
        <v>70</v>
      </c>
      <c r="J78" s="231">
        <v>32.96</v>
      </c>
      <c r="K78" s="231">
        <v>11.96</v>
      </c>
      <c r="L78" s="231">
        <v>6</v>
      </c>
      <c r="M78" s="231">
        <v>10</v>
      </c>
      <c r="N78" s="231">
        <v>-23.04</v>
      </c>
      <c r="O78" s="231">
        <v>-37.04</v>
      </c>
      <c r="P78" s="231">
        <v>1460</v>
      </c>
      <c r="Q78" s="231">
        <v>-401</v>
      </c>
      <c r="R78" s="231">
        <v>29148</v>
      </c>
      <c r="S78" s="231">
        <v>32063</v>
      </c>
      <c r="T78" s="231">
        <v>34978</v>
      </c>
      <c r="U78" s="231">
        <v>26</v>
      </c>
      <c r="V78" s="231">
        <v>33812</v>
      </c>
      <c r="W78" s="231">
        <v>31340.75</v>
      </c>
      <c r="X78" s="231">
        <v>2192.75</v>
      </c>
      <c r="Y78" s="231">
        <v>-2471.25</v>
      </c>
      <c r="Z78" s="231">
        <v>2498.1288</v>
      </c>
      <c r="AA78" s="231">
        <v>-223.9205</v>
      </c>
      <c r="AB78" s="231">
        <v>580</v>
      </c>
      <c r="AC78" s="231">
        <v>638</v>
      </c>
      <c r="AD78" s="231">
        <v>696</v>
      </c>
      <c r="AE78" s="231">
        <v>16</v>
      </c>
      <c r="AF78" s="231">
        <v>615.76666666666699</v>
      </c>
      <c r="AG78" s="231">
        <v>441</v>
      </c>
      <c r="AH78" s="231">
        <v>64</v>
      </c>
      <c r="AI78" s="231">
        <v>287</v>
      </c>
      <c r="AJ78" s="231">
        <v>792</v>
      </c>
      <c r="AK78" s="231">
        <v>212</v>
      </c>
      <c r="AL78" s="231">
        <v>176.23333333333301</v>
      </c>
      <c r="AM78" s="231">
        <v>1458.5</v>
      </c>
      <c r="AN78" s="231">
        <v>0</v>
      </c>
      <c r="AO78" s="231">
        <v>3306</v>
      </c>
      <c r="AP78" s="231">
        <v>3636</v>
      </c>
      <c r="AQ78" s="231">
        <v>3967.3583333333299</v>
      </c>
      <c r="AR78" s="231">
        <v>24</v>
      </c>
      <c r="AS78" s="231">
        <v>3774.2083333333298</v>
      </c>
      <c r="AT78" s="231">
        <v>3306.25</v>
      </c>
      <c r="AU78" s="231">
        <v>1126.8</v>
      </c>
      <c r="AV78" s="231">
        <v>4433.05</v>
      </c>
      <c r="AW78" s="231">
        <v>1127.05</v>
      </c>
      <c r="AX78" s="231">
        <v>658.84166666666601</v>
      </c>
      <c r="AY78" s="231">
        <v>241.339</v>
      </c>
      <c r="AZ78" s="231">
        <v>-21.527999999999999</v>
      </c>
      <c r="BA78" s="231">
        <v>37558.9857142857</v>
      </c>
      <c r="BB78" s="231">
        <v>33126.15</v>
      </c>
      <c r="BC78" s="231">
        <v>237.56</v>
      </c>
      <c r="BD78" s="231">
        <v>33363.71</v>
      </c>
      <c r="BE78" s="231">
        <v>-4195.2757142857199</v>
      </c>
      <c r="BF78" s="231">
        <v>3319.7417999999998</v>
      </c>
      <c r="BG78" s="231">
        <v>-571.68934285714295</v>
      </c>
      <c r="BH78" s="231">
        <v>16831</v>
      </c>
      <c r="BI78" s="231">
        <v>18514</v>
      </c>
      <c r="BJ78" s="231">
        <v>20197</v>
      </c>
      <c r="BK78" s="231">
        <v>30</v>
      </c>
      <c r="BL78" s="231">
        <v>20197</v>
      </c>
      <c r="BM78" s="231">
        <v>22853.42</v>
      </c>
      <c r="BN78" s="231">
        <v>6022.42</v>
      </c>
      <c r="BO78" s="231">
        <v>2656.42</v>
      </c>
      <c r="BP78" s="231">
        <v>5282.7879999999996</v>
      </c>
      <c r="BQ78" s="231">
        <v>-121.3365</v>
      </c>
      <c r="BR78" s="231">
        <v>160788</v>
      </c>
      <c r="BS78" s="231">
        <v>176866</v>
      </c>
      <c r="BT78" s="231">
        <v>192945</v>
      </c>
      <c r="BU78" s="231">
        <v>30</v>
      </c>
      <c r="BV78" s="231">
        <v>192945</v>
      </c>
      <c r="BW78" s="250">
        <v>168684.93</v>
      </c>
      <c r="BX78" s="231">
        <v>7896.9299999999903</v>
      </c>
      <c r="BY78" s="231">
        <v>-24260.07</v>
      </c>
      <c r="BZ78" s="231">
        <v>15911.844800000001</v>
      </c>
      <c r="CA78" s="231">
        <v>-589.86</v>
      </c>
      <c r="CB78" s="250">
        <f>P78+Z78+AM78+AY78+BF78+BP78+BZ78</f>
        <v>30172.342400000001</v>
      </c>
      <c r="CC78" s="253">
        <f>VLOOKUP(B:B,[3]门店完成率!$A:$Y,25,0)</f>
        <v>0.80301916845878096</v>
      </c>
      <c r="CD78" s="250">
        <v>29361.025996407701</v>
      </c>
      <c r="CE78" s="250">
        <f>ROUND(CD78,2)</f>
        <v>29361.03</v>
      </c>
      <c r="CF78" s="250">
        <v>-1929.33434285714</v>
      </c>
      <c r="CG78" s="250">
        <f>ROUND(CF78,2)</f>
        <v>-1929.33</v>
      </c>
      <c r="HO78" s="260"/>
      <c r="HP78" s="260"/>
      <c r="HQ78" s="260"/>
      <c r="HR78" s="260"/>
      <c r="HS78" s="260"/>
    </row>
    <row r="79" spans="1:241" s="157" customFormat="1" ht="12.95" customHeight="1">
      <c r="A79" s="232"/>
      <c r="B79" s="232"/>
      <c r="C79" s="232"/>
      <c r="D79" s="232" t="s">
        <v>120</v>
      </c>
      <c r="E79" s="233">
        <f>SUM(E78:E78)</f>
        <v>56</v>
      </c>
      <c r="F79" s="233">
        <f t="shared" ref="F79:AK79" si="90">SUM(F78:F78)</f>
        <v>62</v>
      </c>
      <c r="G79" s="233">
        <f t="shared" si="90"/>
        <v>70</v>
      </c>
      <c r="H79" s="233">
        <f t="shared" si="90"/>
        <v>30</v>
      </c>
      <c r="I79" s="233">
        <f t="shared" si="90"/>
        <v>70</v>
      </c>
      <c r="J79" s="233">
        <f t="shared" si="90"/>
        <v>32.96</v>
      </c>
      <c r="K79" s="233">
        <f t="shared" si="90"/>
        <v>11.96</v>
      </c>
      <c r="L79" s="233">
        <f t="shared" si="90"/>
        <v>6</v>
      </c>
      <c r="M79" s="233">
        <f t="shared" si="90"/>
        <v>10</v>
      </c>
      <c r="N79" s="233">
        <f t="shared" si="90"/>
        <v>-23.04</v>
      </c>
      <c r="O79" s="233">
        <f t="shared" si="90"/>
        <v>-37.04</v>
      </c>
      <c r="P79" s="233">
        <f t="shared" si="90"/>
        <v>1460</v>
      </c>
      <c r="Q79" s="233">
        <f t="shared" si="90"/>
        <v>-401</v>
      </c>
      <c r="R79" s="233">
        <f t="shared" si="90"/>
        <v>29148</v>
      </c>
      <c r="S79" s="233">
        <f t="shared" si="90"/>
        <v>32063</v>
      </c>
      <c r="T79" s="233">
        <f t="shared" si="90"/>
        <v>34978</v>
      </c>
      <c r="U79" s="233">
        <f t="shared" si="90"/>
        <v>26</v>
      </c>
      <c r="V79" s="233">
        <f t="shared" si="90"/>
        <v>33812</v>
      </c>
      <c r="W79" s="233">
        <f t="shared" si="90"/>
        <v>31340.75</v>
      </c>
      <c r="X79" s="233">
        <f t="shared" si="90"/>
        <v>2192.75</v>
      </c>
      <c r="Y79" s="233">
        <f t="shared" si="90"/>
        <v>-2471.25</v>
      </c>
      <c r="Z79" s="233">
        <f t="shared" si="90"/>
        <v>2498.1288</v>
      </c>
      <c r="AA79" s="233">
        <f t="shared" si="90"/>
        <v>-223.9205</v>
      </c>
      <c r="AB79" s="233">
        <f t="shared" si="90"/>
        <v>580</v>
      </c>
      <c r="AC79" s="233">
        <f t="shared" si="90"/>
        <v>638</v>
      </c>
      <c r="AD79" s="233">
        <f t="shared" si="90"/>
        <v>696</v>
      </c>
      <c r="AE79" s="233">
        <f t="shared" si="90"/>
        <v>16</v>
      </c>
      <c r="AF79" s="233">
        <f t="shared" si="90"/>
        <v>615.76666666666699</v>
      </c>
      <c r="AG79" s="233">
        <f t="shared" si="90"/>
        <v>441</v>
      </c>
      <c r="AH79" s="233">
        <f t="shared" si="90"/>
        <v>64</v>
      </c>
      <c r="AI79" s="233">
        <f t="shared" si="90"/>
        <v>287</v>
      </c>
      <c r="AJ79" s="233">
        <f t="shared" si="90"/>
        <v>792</v>
      </c>
      <c r="AK79" s="233">
        <f t="shared" si="90"/>
        <v>212</v>
      </c>
      <c r="AL79" s="233">
        <f t="shared" ref="AL79:BQ79" si="91">SUM(AL78:AL78)</f>
        <v>176.23333333333301</v>
      </c>
      <c r="AM79" s="233">
        <f t="shared" si="91"/>
        <v>1458.5</v>
      </c>
      <c r="AN79" s="233">
        <f t="shared" si="91"/>
        <v>0</v>
      </c>
      <c r="AO79" s="233">
        <f t="shared" si="91"/>
        <v>3306</v>
      </c>
      <c r="AP79" s="233">
        <f t="shared" si="91"/>
        <v>3636</v>
      </c>
      <c r="AQ79" s="233">
        <f t="shared" si="91"/>
        <v>3967.3583333333299</v>
      </c>
      <c r="AR79" s="233">
        <f t="shared" si="91"/>
        <v>24</v>
      </c>
      <c r="AS79" s="233">
        <f t="shared" si="91"/>
        <v>3774.2083333333298</v>
      </c>
      <c r="AT79" s="233">
        <f t="shared" si="91"/>
        <v>3306.25</v>
      </c>
      <c r="AU79" s="233">
        <f t="shared" si="91"/>
        <v>1126.8</v>
      </c>
      <c r="AV79" s="233">
        <f t="shared" si="91"/>
        <v>4433.05</v>
      </c>
      <c r="AW79" s="233">
        <f t="shared" si="91"/>
        <v>1127.05</v>
      </c>
      <c r="AX79" s="233">
        <f t="shared" si="91"/>
        <v>658.84166666666601</v>
      </c>
      <c r="AY79" s="233">
        <f t="shared" si="91"/>
        <v>241.339</v>
      </c>
      <c r="AZ79" s="233">
        <f t="shared" si="91"/>
        <v>-21.527999999999999</v>
      </c>
      <c r="BA79" s="233">
        <f t="shared" si="91"/>
        <v>37558.9857142857</v>
      </c>
      <c r="BB79" s="233">
        <f t="shared" si="91"/>
        <v>33126.15</v>
      </c>
      <c r="BC79" s="233">
        <f t="shared" si="91"/>
        <v>237.56</v>
      </c>
      <c r="BD79" s="233">
        <f t="shared" si="91"/>
        <v>33363.71</v>
      </c>
      <c r="BE79" s="233">
        <f t="shared" si="91"/>
        <v>-4195.2757142857199</v>
      </c>
      <c r="BF79" s="233">
        <f t="shared" si="91"/>
        <v>3319.7417999999998</v>
      </c>
      <c r="BG79" s="233">
        <f t="shared" si="91"/>
        <v>-571.68934285714295</v>
      </c>
      <c r="BH79" s="233">
        <f t="shared" si="91"/>
        <v>16831</v>
      </c>
      <c r="BI79" s="233">
        <f t="shared" si="91"/>
        <v>18514</v>
      </c>
      <c r="BJ79" s="233">
        <f t="shared" si="91"/>
        <v>20197</v>
      </c>
      <c r="BK79" s="233">
        <f t="shared" si="91"/>
        <v>30</v>
      </c>
      <c r="BL79" s="233">
        <f t="shared" si="91"/>
        <v>20197</v>
      </c>
      <c r="BM79" s="233">
        <f t="shared" si="91"/>
        <v>22853.42</v>
      </c>
      <c r="BN79" s="233">
        <f t="shared" si="91"/>
        <v>6022.42</v>
      </c>
      <c r="BO79" s="233">
        <f t="shared" si="91"/>
        <v>2656.42</v>
      </c>
      <c r="BP79" s="233">
        <f t="shared" si="91"/>
        <v>5282.7879999999996</v>
      </c>
      <c r="BQ79" s="233">
        <f t="shared" si="91"/>
        <v>-121.3365</v>
      </c>
      <c r="BR79" s="233">
        <f t="shared" ref="BR79:CG79" si="92">SUM(BR78:BR78)</f>
        <v>160788</v>
      </c>
      <c r="BS79" s="233">
        <f t="shared" si="92"/>
        <v>176866</v>
      </c>
      <c r="BT79" s="233">
        <f t="shared" si="92"/>
        <v>192945</v>
      </c>
      <c r="BU79" s="233">
        <f t="shared" si="92"/>
        <v>30</v>
      </c>
      <c r="BV79" s="233">
        <f t="shared" si="92"/>
        <v>192945</v>
      </c>
      <c r="BW79" s="233">
        <f t="shared" si="92"/>
        <v>168684.93</v>
      </c>
      <c r="BX79" s="233">
        <f t="shared" si="92"/>
        <v>7896.9299999999903</v>
      </c>
      <c r="BY79" s="233">
        <f t="shared" si="92"/>
        <v>-24260.07</v>
      </c>
      <c r="BZ79" s="233">
        <f t="shared" si="92"/>
        <v>15911.844800000001</v>
      </c>
      <c r="CA79" s="233">
        <f t="shared" si="92"/>
        <v>-589.86</v>
      </c>
      <c r="CB79" s="233">
        <f t="shared" si="92"/>
        <v>30172.342400000001</v>
      </c>
      <c r="CC79" s="233">
        <f t="shared" si="92"/>
        <v>0.80301916845878096</v>
      </c>
      <c r="CD79" s="233">
        <f t="shared" si="92"/>
        <v>29361.025996407701</v>
      </c>
      <c r="CE79" s="233">
        <f t="shared" si="92"/>
        <v>29361.03</v>
      </c>
      <c r="CF79" s="254">
        <f t="shared" si="92"/>
        <v>-1929.33434285714</v>
      </c>
      <c r="CG79" s="254">
        <f t="shared" si="92"/>
        <v>-1929.33</v>
      </c>
      <c r="FK79" s="257"/>
      <c r="FL79" s="257"/>
      <c r="FM79" s="257"/>
      <c r="FN79" s="257"/>
      <c r="FO79" s="257"/>
      <c r="FP79" s="257"/>
      <c r="FQ79" s="257"/>
      <c r="FR79" s="257"/>
      <c r="FS79" s="257"/>
      <c r="FT79" s="257"/>
      <c r="FU79" s="257"/>
      <c r="FV79" s="257"/>
      <c r="FW79" s="257"/>
      <c r="FX79" s="257"/>
      <c r="FY79" s="257"/>
      <c r="FZ79" s="257"/>
      <c r="GA79" s="257"/>
      <c r="GB79" s="257"/>
      <c r="GC79" s="257"/>
      <c r="GD79" s="257"/>
      <c r="GE79" s="257"/>
      <c r="GF79" s="257"/>
      <c r="GG79" s="257"/>
      <c r="GH79" s="257"/>
      <c r="GI79" s="257"/>
      <c r="GJ79" s="257"/>
      <c r="GK79" s="257"/>
      <c r="GL79" s="257"/>
      <c r="GM79" s="257"/>
      <c r="GN79" s="257"/>
      <c r="GO79" s="257"/>
      <c r="GP79" s="257"/>
      <c r="GQ79" s="257"/>
      <c r="GR79" s="257"/>
      <c r="GS79" s="257"/>
      <c r="GT79" s="257"/>
      <c r="GU79" s="257"/>
      <c r="GV79" s="257"/>
      <c r="GW79" s="257"/>
      <c r="GX79" s="257"/>
      <c r="GY79" s="257"/>
      <c r="GZ79" s="257"/>
      <c r="HA79" s="257"/>
      <c r="HB79" s="257"/>
      <c r="HC79" s="257"/>
      <c r="HD79" s="257"/>
      <c r="HE79" s="257"/>
      <c r="HF79" s="257"/>
      <c r="HG79" s="257"/>
      <c r="HH79" s="257"/>
      <c r="HI79" s="257"/>
      <c r="HJ79" s="257"/>
      <c r="HK79" s="257"/>
      <c r="HL79" s="257"/>
      <c r="HM79" s="257"/>
      <c r="HN79" s="257"/>
      <c r="HO79" s="257"/>
      <c r="HP79" s="257"/>
      <c r="HQ79" s="257"/>
      <c r="HR79" s="257"/>
      <c r="HS79" s="257"/>
      <c r="HT79" s="257"/>
      <c r="HU79" s="257"/>
      <c r="HV79" s="257"/>
      <c r="HW79" s="257"/>
      <c r="HX79" s="257"/>
      <c r="HY79" s="257"/>
      <c r="HZ79" s="257"/>
      <c r="IA79" s="257"/>
      <c r="IB79" s="257"/>
      <c r="IC79" s="257"/>
      <c r="ID79" s="257"/>
      <c r="IE79" s="257"/>
      <c r="IF79" s="257"/>
    </row>
    <row r="80" spans="1:241" s="155" customFormat="1" ht="12.95" customHeight="1">
      <c r="A80" s="174">
        <v>73</v>
      </c>
      <c r="B80" s="174">
        <v>343</v>
      </c>
      <c r="C80" s="174" t="s">
        <v>121</v>
      </c>
      <c r="D80" s="174" t="s">
        <v>122</v>
      </c>
      <c r="E80" s="175">
        <v>5</v>
      </c>
      <c r="F80" s="175">
        <v>6</v>
      </c>
      <c r="G80" s="175">
        <v>7</v>
      </c>
      <c r="H80" s="175">
        <v>3</v>
      </c>
      <c r="I80" s="175">
        <v>7</v>
      </c>
      <c r="J80" s="165">
        <v>5.6079999999999997</v>
      </c>
      <c r="K80" s="165">
        <f>VLOOKUP(B:B,[5]Sheet1!$I$1:$K$65536,3,0)</f>
        <v>2.6080000000000001</v>
      </c>
      <c r="L80" s="165">
        <f>VLOOKUP(B:B,[5]Sheet1!$I$1:$M$65536,5,0)</f>
        <v>0</v>
      </c>
      <c r="M80" s="165">
        <f>VLOOKUP(B:B,[5]Sheet1!$I$1:$N$65536,6,0)</f>
        <v>2</v>
      </c>
      <c r="N80" s="165">
        <f t="shared" si="69"/>
        <v>0.60799999999999998</v>
      </c>
      <c r="O80" s="165">
        <f t="shared" si="70"/>
        <v>-1.3919999999999999</v>
      </c>
      <c r="P80" s="165">
        <f>K80*70+L80*15+M80*40</f>
        <v>262.56</v>
      </c>
      <c r="Q80" s="165">
        <f>N80*15</f>
        <v>9.1199999999999903</v>
      </c>
      <c r="R80" s="191">
        <v>13042</v>
      </c>
      <c r="S80" s="192">
        <v>14346.2</v>
      </c>
      <c r="T80" s="192">
        <v>15650.4</v>
      </c>
      <c r="U80" s="192">
        <v>1</v>
      </c>
      <c r="V80" s="191">
        <v>13042</v>
      </c>
      <c r="W80" s="188">
        <f>VLOOKUP(B:B,[1]Sheet1!$F$1:$G$65536,2,0)</f>
        <v>10369.59</v>
      </c>
      <c r="X80" s="188">
        <f t="shared" si="71"/>
        <v>-2672.41</v>
      </c>
      <c r="Y80" s="188">
        <f t="shared" si="72"/>
        <v>-2672.41</v>
      </c>
      <c r="Z80" s="191"/>
      <c r="AA80" s="197">
        <f>X80*0.05</f>
        <v>-133.62049999999999</v>
      </c>
      <c r="AB80" s="175">
        <v>246</v>
      </c>
      <c r="AC80" s="200">
        <v>271</v>
      </c>
      <c r="AD80" s="200">
        <v>295</v>
      </c>
      <c r="AE80" s="201">
        <v>1</v>
      </c>
      <c r="AF80" s="202">
        <v>246</v>
      </c>
      <c r="AG80" s="206">
        <f>VLOOKUP(B:B,[1]Sheet3!$G$1:$H$65536,2,0)</f>
        <v>107</v>
      </c>
      <c r="AH80" s="206">
        <f>VLOOKUP(B:B,[1]Sheet5!$E$1:$F$65536,2,0)</f>
        <v>20</v>
      </c>
      <c r="AI80" s="206">
        <f>VLOOKUP(B:B,[1]Sheet8!$G$1:$H$65536,2,0)</f>
        <v>79</v>
      </c>
      <c r="AJ80" s="206">
        <f t="shared" si="73"/>
        <v>206</v>
      </c>
      <c r="AK80" s="196">
        <f t="shared" si="74"/>
        <v>-40</v>
      </c>
      <c r="AL80" s="196">
        <f t="shared" si="75"/>
        <v>-40</v>
      </c>
      <c r="AM80" s="202"/>
      <c r="AN80" s="196">
        <f>AK80*1</f>
        <v>-40</v>
      </c>
      <c r="AO80" s="174">
        <v>1188</v>
      </c>
      <c r="AP80" s="174">
        <v>1306.8</v>
      </c>
      <c r="AQ80" s="174">
        <v>1425.6</v>
      </c>
      <c r="AR80" s="174">
        <v>1</v>
      </c>
      <c r="AS80" s="174">
        <v>1188</v>
      </c>
      <c r="AT80" s="188">
        <f>VLOOKUP(B:B,[1]Sheet10!$F$1:$G$65536,2,0)</f>
        <v>703.72</v>
      </c>
      <c r="AU80" s="188">
        <f>VLOOKUP(B:B,[1]Sheet12!$G$1:$H$65536,2,0)</f>
        <v>415.4</v>
      </c>
      <c r="AV80" s="188">
        <f t="shared" si="76"/>
        <v>1119.1199999999999</v>
      </c>
      <c r="AW80" s="188">
        <f t="shared" si="77"/>
        <v>-68.880000000000095</v>
      </c>
      <c r="AX80" s="188">
        <f t="shared" si="78"/>
        <v>-68.880000000000095</v>
      </c>
      <c r="AY80" s="174"/>
      <c r="AZ80" s="188">
        <f>AW80*0.04</f>
        <v>-2.7551999999999999</v>
      </c>
      <c r="BA80" s="191">
        <v>9807.77</v>
      </c>
      <c r="BB80" s="188">
        <f>VLOOKUP(B:B,[1]Sheet14!$G$1:$I$65536,3,0)</f>
        <v>13208.3</v>
      </c>
      <c r="BC80" s="188">
        <v>98.54</v>
      </c>
      <c r="BD80" s="188">
        <f t="shared" si="79"/>
        <v>13306.84</v>
      </c>
      <c r="BE80" s="188">
        <f t="shared" si="80"/>
        <v>3499.07</v>
      </c>
      <c r="BF80" s="188">
        <f t="shared" si="81"/>
        <v>1323.7862</v>
      </c>
      <c r="BG80" s="174"/>
      <c r="BH80" s="174">
        <v>4780.8</v>
      </c>
      <c r="BI80" s="174">
        <v>5258.88</v>
      </c>
      <c r="BJ80" s="174">
        <v>5736.96</v>
      </c>
      <c r="BK80" s="174">
        <v>3</v>
      </c>
      <c r="BL80" s="174">
        <v>5736.96</v>
      </c>
      <c r="BM80" s="188">
        <f>VLOOKUP(B:B,[1]Sheet17!$E$1:$F$65536,2,0)</f>
        <v>6160.01</v>
      </c>
      <c r="BN80" s="188">
        <f t="shared" si="82"/>
        <v>1379.21</v>
      </c>
      <c r="BO80" s="188">
        <f t="shared" si="83"/>
        <v>423.05</v>
      </c>
      <c r="BP80" s="188">
        <f>BM80*0.25</f>
        <v>1540.0025000000001</v>
      </c>
      <c r="BQ80" s="174"/>
      <c r="BR80" s="174">
        <v>57716.1</v>
      </c>
      <c r="BS80" s="174">
        <v>63487.71</v>
      </c>
      <c r="BT80" s="174">
        <v>69259.320000000007</v>
      </c>
      <c r="BU80" s="174">
        <v>1</v>
      </c>
      <c r="BV80" s="174">
        <v>57716.1</v>
      </c>
      <c r="BW80" s="188">
        <f>VLOOKUP(B:B,[2]Sheet1!$G$1:$H$65536,2,0)</f>
        <v>47626.74</v>
      </c>
      <c r="BX80" s="188">
        <f t="shared" si="84"/>
        <v>-10089.36</v>
      </c>
      <c r="BY80" s="188">
        <f t="shared" si="85"/>
        <v>-10089.36</v>
      </c>
      <c r="BZ80" s="166">
        <f>BW80*0.08</f>
        <v>3810.1392000000001</v>
      </c>
      <c r="CA80" s="174">
        <f>BX80*0.05</f>
        <v>-504.46800000000002</v>
      </c>
      <c r="CB80" s="188">
        <f t="shared" si="86"/>
        <v>6936.4879000000001</v>
      </c>
      <c r="CC80" s="218">
        <f>VLOOKUP(B:B,[3]门店完成率!$A:$Y,25,0)</f>
        <v>0.93983432258064503</v>
      </c>
      <c r="CD80" s="188">
        <f>CB80*0.5+CB80*0.5*CC80</f>
        <v>6727.8186532926702</v>
      </c>
      <c r="CE80" s="188">
        <f t="shared" si="59"/>
        <v>6727.82</v>
      </c>
      <c r="CF80" s="188">
        <f t="shared" si="87"/>
        <v>-671.72370000000001</v>
      </c>
      <c r="CG80" s="188">
        <f t="shared" ref="CG80:CG103" si="93">ROUND(CF80,2)</f>
        <v>-671.72</v>
      </c>
    </row>
    <row r="81" spans="1:241" s="155" customFormat="1" ht="12.95" customHeight="1">
      <c r="A81" s="174">
        <v>74</v>
      </c>
      <c r="B81" s="174">
        <v>357</v>
      </c>
      <c r="C81" s="174" t="s">
        <v>123</v>
      </c>
      <c r="D81" s="174" t="s">
        <v>122</v>
      </c>
      <c r="E81" s="175">
        <v>3</v>
      </c>
      <c r="F81" s="175">
        <v>4</v>
      </c>
      <c r="G81" s="175">
        <v>5</v>
      </c>
      <c r="H81" s="175">
        <v>1</v>
      </c>
      <c r="I81" s="175">
        <v>3</v>
      </c>
      <c r="J81" s="165">
        <v>0</v>
      </c>
      <c r="K81" s="165">
        <v>0</v>
      </c>
      <c r="L81" s="165">
        <v>0</v>
      </c>
      <c r="M81" s="165">
        <v>0</v>
      </c>
      <c r="N81" s="165">
        <f t="shared" si="69"/>
        <v>-3</v>
      </c>
      <c r="O81" s="165">
        <f t="shared" si="70"/>
        <v>-3</v>
      </c>
      <c r="P81" s="165">
        <f>K81*70+L81*15+M81*40</f>
        <v>0</v>
      </c>
      <c r="Q81" s="165">
        <f>N81*15</f>
        <v>-45</v>
      </c>
      <c r="R81" s="191">
        <v>2452</v>
      </c>
      <c r="S81" s="192">
        <v>2697.2</v>
      </c>
      <c r="T81" s="192">
        <v>2942.4</v>
      </c>
      <c r="U81" s="192">
        <v>2</v>
      </c>
      <c r="V81" s="191">
        <v>2697.2</v>
      </c>
      <c r="W81" s="188">
        <f>VLOOKUP(B:B,[1]Sheet1!$F$1:$G$65536,2,0)</f>
        <v>2215.81</v>
      </c>
      <c r="X81" s="188">
        <f t="shared" si="71"/>
        <v>-236.19</v>
      </c>
      <c r="Y81" s="188">
        <f t="shared" si="72"/>
        <v>-481.39</v>
      </c>
      <c r="Z81" s="191"/>
      <c r="AA81" s="197">
        <f>X81*0.05</f>
        <v>-11.8095</v>
      </c>
      <c r="AB81" s="175">
        <v>130</v>
      </c>
      <c r="AC81" s="200">
        <v>143</v>
      </c>
      <c r="AD81" s="200">
        <v>156</v>
      </c>
      <c r="AE81" s="201">
        <v>1</v>
      </c>
      <c r="AF81" s="202">
        <v>130</v>
      </c>
      <c r="AG81" s="206">
        <f>VLOOKUP(B:B,[1]Sheet3!$G$1:$H$65536,2,0)</f>
        <v>46</v>
      </c>
      <c r="AH81" s="206">
        <f>VLOOKUP(B:B,[1]Sheet5!$E$1:$F$65536,2,0)</f>
        <v>8</v>
      </c>
      <c r="AI81" s="206">
        <f>VLOOKUP(B:B,[1]Sheet8!$G$1:$H$65536,2,0)</f>
        <v>28</v>
      </c>
      <c r="AJ81" s="206">
        <f t="shared" si="73"/>
        <v>82</v>
      </c>
      <c r="AK81" s="196">
        <f t="shared" si="74"/>
        <v>-48</v>
      </c>
      <c r="AL81" s="196">
        <f t="shared" si="75"/>
        <v>-48</v>
      </c>
      <c r="AM81" s="202"/>
      <c r="AN81" s="196">
        <f>AK81*1</f>
        <v>-48</v>
      </c>
      <c r="AO81" s="174">
        <v>532.79999999999995</v>
      </c>
      <c r="AP81" s="174">
        <v>586.08000000000004</v>
      </c>
      <c r="AQ81" s="174">
        <v>639.36</v>
      </c>
      <c r="AR81" s="174">
        <v>1</v>
      </c>
      <c r="AS81" s="174">
        <v>532.79999999999995</v>
      </c>
      <c r="AT81" s="188">
        <f>VLOOKUP(B:B,[1]Sheet10!$F$1:$G$65536,2,0)</f>
        <v>331.2</v>
      </c>
      <c r="AU81" s="188">
        <f>VLOOKUP(B:B,[1]Sheet12!$G$1:$H$65536,2,0)</f>
        <v>75</v>
      </c>
      <c r="AV81" s="188">
        <f t="shared" si="76"/>
        <v>406.2</v>
      </c>
      <c r="AW81" s="188">
        <f t="shared" si="77"/>
        <v>-126.6</v>
      </c>
      <c r="AX81" s="188">
        <f t="shared" si="78"/>
        <v>-126.6</v>
      </c>
      <c r="AY81" s="174"/>
      <c r="AZ81" s="188">
        <f>AW81*0.04</f>
        <v>-5.0640000000000001</v>
      </c>
      <c r="BA81" s="191">
        <f>VLOOKUP(B:B,[12]查询时间段分门店销售明细!$B$1:$X$65536,23,0)</f>
        <v>11537.82</v>
      </c>
      <c r="BB81" s="188">
        <f>VLOOKUP(B:B,[1]Sheet14!$G$1:$I$65536,3,0)</f>
        <v>13158.2</v>
      </c>
      <c r="BC81" s="188">
        <v>27.1</v>
      </c>
      <c r="BD81" s="188">
        <f t="shared" si="79"/>
        <v>13185.3</v>
      </c>
      <c r="BE81" s="188">
        <f t="shared" si="80"/>
        <v>1647.48</v>
      </c>
      <c r="BF81" s="188">
        <f t="shared" si="81"/>
        <v>1316.633</v>
      </c>
      <c r="BG81" s="174"/>
      <c r="BH81" s="174">
        <v>1818</v>
      </c>
      <c r="BI81" s="174">
        <v>1999.8</v>
      </c>
      <c r="BJ81" s="174">
        <v>2181.6</v>
      </c>
      <c r="BK81" s="174">
        <v>3</v>
      </c>
      <c r="BL81" s="174">
        <v>2181.6</v>
      </c>
      <c r="BM81" s="188">
        <f>VLOOKUP(B:B,[1]Sheet17!$E$1:$F$65536,2,0)</f>
        <v>6169.39</v>
      </c>
      <c r="BN81" s="188">
        <f t="shared" si="82"/>
        <v>4351.3900000000003</v>
      </c>
      <c r="BO81" s="188">
        <f t="shared" si="83"/>
        <v>3987.79</v>
      </c>
      <c r="BP81" s="188">
        <f>BM81*0.25</f>
        <v>1542.3475000000001</v>
      </c>
      <c r="BQ81" s="174"/>
      <c r="BR81" s="174">
        <v>17032.5</v>
      </c>
      <c r="BS81" s="174">
        <v>18735.75</v>
      </c>
      <c r="BT81" s="174">
        <v>20439</v>
      </c>
      <c r="BU81" s="174">
        <v>2</v>
      </c>
      <c r="BV81" s="174">
        <v>18735.75</v>
      </c>
      <c r="BW81" s="188">
        <f>VLOOKUP(B:B,[2]Sheet1!$G$1:$H$65536,2,0)</f>
        <v>15411.28</v>
      </c>
      <c r="BX81" s="188">
        <f t="shared" si="84"/>
        <v>-1621.22</v>
      </c>
      <c r="BY81" s="188">
        <f t="shared" si="85"/>
        <v>-3324.47</v>
      </c>
      <c r="BZ81" s="166">
        <f>BW81*0.08</f>
        <v>1232.9023999999999</v>
      </c>
      <c r="CA81" s="174">
        <f>BX81*0.05</f>
        <v>-81.061000000000007</v>
      </c>
      <c r="CB81" s="188">
        <f t="shared" si="86"/>
        <v>4091.8829000000001</v>
      </c>
      <c r="CC81" s="218">
        <f>VLOOKUP(B:B,[3]门店完成率!$A:$Y,25,0)</f>
        <v>1.0990098240469199</v>
      </c>
      <c r="CD81" s="166">
        <f>CB81</f>
        <v>4091.8829000000001</v>
      </c>
      <c r="CE81" s="188">
        <f t="shared" si="59"/>
        <v>4091.88</v>
      </c>
      <c r="CF81" s="188">
        <f t="shared" si="87"/>
        <v>-190.93450000000001</v>
      </c>
      <c r="CG81" s="188">
        <f t="shared" si="93"/>
        <v>-190.93</v>
      </c>
      <c r="FL81" s="159"/>
      <c r="FM81" s="159"/>
      <c r="FN81" s="159"/>
      <c r="FO81" s="159"/>
      <c r="FP81" s="159"/>
      <c r="FQ81" s="159"/>
      <c r="FR81" s="159"/>
      <c r="FS81" s="159"/>
      <c r="FT81" s="159"/>
      <c r="FU81" s="159"/>
      <c r="FV81" s="159"/>
      <c r="FW81" s="159"/>
      <c r="FX81" s="159"/>
      <c r="FY81" s="159"/>
      <c r="FZ81" s="159"/>
      <c r="GA81" s="159"/>
      <c r="GB81" s="159"/>
      <c r="GC81" s="159"/>
      <c r="GD81" s="159"/>
      <c r="GE81" s="159"/>
      <c r="GF81" s="159"/>
      <c r="GG81" s="159"/>
      <c r="GH81" s="159"/>
      <c r="GI81" s="159"/>
      <c r="GJ81" s="159"/>
      <c r="GK81" s="159"/>
      <c r="GL81" s="159"/>
      <c r="GM81" s="159"/>
      <c r="GN81" s="159"/>
      <c r="GO81" s="159"/>
      <c r="GP81" s="159"/>
      <c r="GQ81" s="159"/>
      <c r="GR81" s="159"/>
      <c r="GS81" s="159"/>
      <c r="GT81" s="159"/>
      <c r="GU81" s="159"/>
      <c r="GV81" s="159"/>
      <c r="GW81" s="159"/>
      <c r="GX81" s="159"/>
      <c r="GY81" s="159"/>
      <c r="GZ81" s="159"/>
      <c r="HA81" s="159"/>
      <c r="HB81" s="159"/>
      <c r="HC81" s="159"/>
      <c r="HD81" s="159"/>
      <c r="HE81" s="159"/>
    </row>
    <row r="82" spans="1:241" s="155" customFormat="1" ht="12.95" customHeight="1">
      <c r="A82" s="174">
        <v>75</v>
      </c>
      <c r="B82" s="174">
        <v>359</v>
      </c>
      <c r="C82" s="174" t="s">
        <v>124</v>
      </c>
      <c r="D82" s="174" t="s">
        <v>122</v>
      </c>
      <c r="E82" s="175">
        <v>2</v>
      </c>
      <c r="F82" s="175">
        <v>3</v>
      </c>
      <c r="G82" s="175">
        <v>4</v>
      </c>
      <c r="H82" s="175">
        <v>1</v>
      </c>
      <c r="I82" s="175">
        <v>2</v>
      </c>
      <c r="J82" s="165">
        <v>0</v>
      </c>
      <c r="K82" s="165">
        <v>0</v>
      </c>
      <c r="L82" s="165">
        <v>0</v>
      </c>
      <c r="M82" s="165">
        <v>0</v>
      </c>
      <c r="N82" s="165">
        <f t="shared" si="69"/>
        <v>-2</v>
      </c>
      <c r="O82" s="165">
        <f t="shared" si="70"/>
        <v>-2</v>
      </c>
      <c r="P82" s="165">
        <f>K82*70+L82*15+M82*40</f>
        <v>0</v>
      </c>
      <c r="Q82" s="165">
        <f>N82*15</f>
        <v>-30</v>
      </c>
      <c r="R82" s="191">
        <v>1826</v>
      </c>
      <c r="S82" s="192">
        <v>2008.6</v>
      </c>
      <c r="T82" s="192">
        <v>2191.1999999999998</v>
      </c>
      <c r="U82" s="192">
        <v>1</v>
      </c>
      <c r="V82" s="191">
        <v>1826</v>
      </c>
      <c r="W82" s="188">
        <f>VLOOKUP(B:B,[1]Sheet1!$F$1:$G$65536,2,0)</f>
        <v>2235</v>
      </c>
      <c r="X82" s="188">
        <f t="shared" si="71"/>
        <v>409</v>
      </c>
      <c r="Y82" s="188">
        <f t="shared" si="72"/>
        <v>409</v>
      </c>
      <c r="Z82" s="188">
        <f>W82*0.07</f>
        <v>156.44999999999999</v>
      </c>
      <c r="AA82" s="191"/>
      <c r="AB82" s="175">
        <v>136</v>
      </c>
      <c r="AC82" s="200">
        <v>150</v>
      </c>
      <c r="AD82" s="200">
        <v>163</v>
      </c>
      <c r="AE82" s="201">
        <v>1</v>
      </c>
      <c r="AF82" s="202">
        <v>136</v>
      </c>
      <c r="AG82" s="206">
        <f>VLOOKUP(B:B,[1]Sheet3!$G$1:$H$65536,2,0)</f>
        <v>95</v>
      </c>
      <c r="AH82" s="206">
        <f>VLOOKUP(B:B,[1]Sheet5!$E$1:$F$65536,2,0)</f>
        <v>19</v>
      </c>
      <c r="AI82" s="206">
        <f>VLOOKUP(B:B,[1]Sheet8!$G$1:$H$65536,2,0)</f>
        <v>23</v>
      </c>
      <c r="AJ82" s="206">
        <f t="shared" si="73"/>
        <v>137</v>
      </c>
      <c r="AK82" s="196">
        <f t="shared" si="74"/>
        <v>1</v>
      </c>
      <c r="AL82" s="196">
        <f t="shared" si="75"/>
        <v>1</v>
      </c>
      <c r="AM82" s="196">
        <f>AG82*1+AH82*0.5+AI82*2</f>
        <v>150.5</v>
      </c>
      <c r="AN82" s="202"/>
      <c r="AO82" s="174">
        <v>720</v>
      </c>
      <c r="AP82" s="174">
        <v>792</v>
      </c>
      <c r="AQ82" s="174">
        <v>864</v>
      </c>
      <c r="AR82" s="174">
        <v>3</v>
      </c>
      <c r="AS82" s="174">
        <v>864</v>
      </c>
      <c r="AT82" s="188">
        <f>VLOOKUP(B:B,[1]Sheet10!$F$1:$G$65536,2,0)</f>
        <v>568.1</v>
      </c>
      <c r="AU82" s="188">
        <f>VLOOKUP(B:B,[1]Sheet12!$G$1:$H$65536,2,0)</f>
        <v>670</v>
      </c>
      <c r="AV82" s="188">
        <f t="shared" si="76"/>
        <v>1238.0999999999999</v>
      </c>
      <c r="AW82" s="188">
        <f t="shared" si="77"/>
        <v>518.1</v>
      </c>
      <c r="AX82" s="188">
        <f t="shared" si="78"/>
        <v>374.1</v>
      </c>
      <c r="AY82" s="168">
        <f>AT82*0.09+AU82*0.05</f>
        <v>84.629000000000005</v>
      </c>
      <c r="AZ82" s="174"/>
      <c r="BA82" s="191">
        <f>VLOOKUP(B:B,[9]查询时间段分门店销售明细!$B$1:$X$65536,23,0)</f>
        <v>5186.34</v>
      </c>
      <c r="BB82" s="188">
        <f>VLOOKUP(B:B,[1]Sheet14!$G$1:$I$65536,3,0)</f>
        <v>5447.2000000000098</v>
      </c>
      <c r="BC82" s="188">
        <v>69.260000000000005</v>
      </c>
      <c r="BD82" s="188">
        <f t="shared" si="79"/>
        <v>5516.46000000001</v>
      </c>
      <c r="BE82" s="188">
        <f t="shared" si="80"/>
        <v>330.12000000001001</v>
      </c>
      <c r="BF82" s="188">
        <f t="shared" si="81"/>
        <v>546.79780000000096</v>
      </c>
      <c r="BG82" s="174"/>
      <c r="BH82" s="174">
        <v>2187.36</v>
      </c>
      <c r="BI82" s="174">
        <v>2406.096</v>
      </c>
      <c r="BJ82" s="174">
        <v>2624.8319999999999</v>
      </c>
      <c r="BK82" s="174">
        <v>1</v>
      </c>
      <c r="BL82" s="174">
        <v>2187.36</v>
      </c>
      <c r="BM82" s="188">
        <f>VLOOKUP(B:B,[1]Sheet17!$E$1:$F$65536,2,0)</f>
        <v>985.1</v>
      </c>
      <c r="BN82" s="188">
        <f t="shared" si="82"/>
        <v>-1202.26</v>
      </c>
      <c r="BO82" s="188">
        <f t="shared" si="83"/>
        <v>-1202.26</v>
      </c>
      <c r="BP82" s="188">
        <f>BM82*0.15</f>
        <v>147.76499999999999</v>
      </c>
      <c r="BQ82" s="188">
        <f>BN82*0.05</f>
        <v>-60.113</v>
      </c>
      <c r="BR82" s="174">
        <v>16254.755999999999</v>
      </c>
      <c r="BS82" s="174">
        <v>17880.231599999999</v>
      </c>
      <c r="BT82" s="174">
        <v>19505.707200000001</v>
      </c>
      <c r="BU82" s="174">
        <v>2</v>
      </c>
      <c r="BV82" s="174">
        <v>17880.231599999999</v>
      </c>
      <c r="BW82" s="188">
        <f>VLOOKUP(B:B,[2]Sheet1!$G$1:$H$65536,2,0)</f>
        <v>20569.02</v>
      </c>
      <c r="BX82" s="188">
        <f t="shared" si="84"/>
        <v>4314.2640000000001</v>
      </c>
      <c r="BY82" s="188">
        <f t="shared" si="85"/>
        <v>2688.7883999999999</v>
      </c>
      <c r="BZ82" s="188">
        <f>BW82*0.1</f>
        <v>2056.902</v>
      </c>
      <c r="CA82" s="174"/>
      <c r="CB82" s="188">
        <f t="shared" si="86"/>
        <v>3143.0437999999999</v>
      </c>
      <c r="CC82" s="218">
        <f>VLOOKUP(B:B,[3]门店完成率!$A:$Y,25,0)</f>
        <v>0.87713584229390695</v>
      </c>
      <c r="CD82" s="188">
        <f>CB82*0.5+CB82*0.5*CC82</f>
        <v>2949.96008543982</v>
      </c>
      <c r="CE82" s="188">
        <f t="shared" si="59"/>
        <v>2949.96</v>
      </c>
      <c r="CF82" s="188">
        <f t="shared" si="87"/>
        <v>-90.113</v>
      </c>
      <c r="CG82" s="188">
        <f t="shared" si="93"/>
        <v>-90.11</v>
      </c>
    </row>
    <row r="83" spans="1:241" s="155" customFormat="1" ht="14.25">
      <c r="A83" s="174">
        <v>76</v>
      </c>
      <c r="B83" s="174">
        <v>365</v>
      </c>
      <c r="C83" s="174" t="s">
        <v>125</v>
      </c>
      <c r="D83" s="174" t="s">
        <v>122</v>
      </c>
      <c r="E83" s="175">
        <v>5</v>
      </c>
      <c r="F83" s="175">
        <v>6</v>
      </c>
      <c r="G83" s="175">
        <v>7</v>
      </c>
      <c r="H83" s="175">
        <v>1</v>
      </c>
      <c r="I83" s="175">
        <v>5</v>
      </c>
      <c r="J83" s="165">
        <v>6</v>
      </c>
      <c r="K83" s="165">
        <f>VLOOKUP(B:B,[5]Sheet1!$I$1:$K$65536,3,0)</f>
        <v>0</v>
      </c>
      <c r="L83" s="165">
        <f>VLOOKUP(B:B,[5]Sheet1!$I$1:$M$65536,5,0)</f>
        <v>6</v>
      </c>
      <c r="M83" s="165">
        <f>VLOOKUP(B:B,[5]Sheet1!$I$1:$N$65536,6,0)</f>
        <v>0</v>
      </c>
      <c r="N83" s="165">
        <f t="shared" si="69"/>
        <v>1</v>
      </c>
      <c r="O83" s="165">
        <f t="shared" si="70"/>
        <v>1</v>
      </c>
      <c r="P83" s="165">
        <f>K83*90+L83*15+M83*40</f>
        <v>90</v>
      </c>
      <c r="Q83" s="165"/>
      <c r="R83" s="191">
        <v>2433</v>
      </c>
      <c r="S83" s="192">
        <v>2676.3</v>
      </c>
      <c r="T83" s="192">
        <v>2919.6</v>
      </c>
      <c r="U83" s="192">
        <v>1</v>
      </c>
      <c r="V83" s="191">
        <v>2433</v>
      </c>
      <c r="W83" s="188">
        <f>VLOOKUP(B:B,[1]Sheet1!$F$1:$G$65536,2,0)</f>
        <v>1795.48</v>
      </c>
      <c r="X83" s="188">
        <f t="shared" si="71"/>
        <v>-637.52</v>
      </c>
      <c r="Y83" s="188">
        <f t="shared" si="72"/>
        <v>-637.52</v>
      </c>
      <c r="Z83" s="191"/>
      <c r="AA83" s="197">
        <f>X83*0.05</f>
        <v>-31.876000000000001</v>
      </c>
      <c r="AB83" s="175">
        <v>146</v>
      </c>
      <c r="AC83" s="200">
        <v>161</v>
      </c>
      <c r="AD83" s="200">
        <v>175</v>
      </c>
      <c r="AE83" s="201">
        <v>1</v>
      </c>
      <c r="AF83" s="202">
        <v>146</v>
      </c>
      <c r="AG83" s="206">
        <f>VLOOKUP(B:B,[1]Sheet3!$G$1:$H$65536,2,0)</f>
        <v>63</v>
      </c>
      <c r="AH83" s="206">
        <f>VLOOKUP(B:B,[1]Sheet5!$E$1:$F$65536,2,0)</f>
        <v>24</v>
      </c>
      <c r="AI83" s="206">
        <f>VLOOKUP(B:B,[1]Sheet8!$G$1:$H$65536,2,0)</f>
        <v>43</v>
      </c>
      <c r="AJ83" s="206">
        <f t="shared" si="73"/>
        <v>130</v>
      </c>
      <c r="AK83" s="196">
        <f t="shared" si="74"/>
        <v>-16</v>
      </c>
      <c r="AL83" s="196">
        <f t="shared" si="75"/>
        <v>-16</v>
      </c>
      <c r="AM83" s="202"/>
      <c r="AN83" s="196">
        <f>AK83*1</f>
        <v>-16</v>
      </c>
      <c r="AO83" s="174">
        <v>736.2</v>
      </c>
      <c r="AP83" s="174">
        <v>809.82</v>
      </c>
      <c r="AQ83" s="174">
        <v>883.44</v>
      </c>
      <c r="AR83" s="174">
        <v>3</v>
      </c>
      <c r="AS83" s="174">
        <v>883.44</v>
      </c>
      <c r="AT83" s="188">
        <f>VLOOKUP(B:B,[1]Sheet10!$F$1:$G$65536,2,0)</f>
        <v>933.1</v>
      </c>
      <c r="AU83" s="188">
        <f>VLOOKUP(B:B,[1]Sheet12!$G$1:$H$65536,2,0)</f>
        <v>113</v>
      </c>
      <c r="AV83" s="188">
        <f t="shared" si="76"/>
        <v>1046.0999999999999</v>
      </c>
      <c r="AW83" s="188">
        <f t="shared" si="77"/>
        <v>309.89999999999998</v>
      </c>
      <c r="AX83" s="188">
        <f t="shared" si="78"/>
        <v>162.66</v>
      </c>
      <c r="AY83" s="168">
        <f>AT83*0.09+AU83*0.05</f>
        <v>89.629000000000005</v>
      </c>
      <c r="AZ83" s="174"/>
      <c r="BA83" s="191">
        <f>VLOOKUP(B:B,[12]查询时间段分门店销售明细!$B$1:$X$65536,23,0)</f>
        <v>5070.03</v>
      </c>
      <c r="BB83" s="188">
        <f>VLOOKUP(B:B,[1]Sheet14!$G$1:$I$65536,3,0)</f>
        <v>5971.3100000000104</v>
      </c>
      <c r="BC83" s="188">
        <v>185.02</v>
      </c>
      <c r="BD83" s="188">
        <f t="shared" si="79"/>
        <v>6156.3300000000099</v>
      </c>
      <c r="BE83" s="188">
        <f t="shared" si="80"/>
        <v>1086.30000000001</v>
      </c>
      <c r="BF83" s="188">
        <f t="shared" si="81"/>
        <v>602.68160000000103</v>
      </c>
      <c r="BG83" s="174"/>
      <c r="BH83" s="174">
        <v>2524.3200000000002</v>
      </c>
      <c r="BI83" s="174">
        <v>2776.752</v>
      </c>
      <c r="BJ83" s="174">
        <v>3029.1840000000002</v>
      </c>
      <c r="BK83" s="174">
        <v>1</v>
      </c>
      <c r="BL83" s="174">
        <v>2524.3200000000002</v>
      </c>
      <c r="BM83" s="188">
        <f>VLOOKUP(B:B,[1]Sheet17!$E$1:$F$65536,2,0)</f>
        <v>2605.35</v>
      </c>
      <c r="BN83" s="188">
        <f t="shared" si="82"/>
        <v>81.029999999999703</v>
      </c>
      <c r="BO83" s="188">
        <f t="shared" si="83"/>
        <v>81.029999999999703</v>
      </c>
      <c r="BP83" s="188">
        <f>BM83*0.15</f>
        <v>390.80250000000001</v>
      </c>
      <c r="BQ83" s="174"/>
      <c r="BR83" s="174">
        <v>22463.1</v>
      </c>
      <c r="BS83" s="174">
        <v>24709.41</v>
      </c>
      <c r="BT83" s="174">
        <v>26955.72</v>
      </c>
      <c r="BU83" s="174">
        <v>1</v>
      </c>
      <c r="BV83" s="174">
        <v>22463.1</v>
      </c>
      <c r="BW83" s="188">
        <f>VLOOKUP(B:B,[2]Sheet1!$G$1:$H$65536,2,0)</f>
        <v>21223.78</v>
      </c>
      <c r="BX83" s="188">
        <f t="shared" si="84"/>
        <v>-1239.32</v>
      </c>
      <c r="BY83" s="188">
        <f t="shared" si="85"/>
        <v>-1239.32</v>
      </c>
      <c r="BZ83" s="166">
        <f>BW83*0.08</f>
        <v>1697.9023999999999</v>
      </c>
      <c r="CA83" s="174">
        <f>BX83*0.05</f>
        <v>-61.966000000000001</v>
      </c>
      <c r="CB83" s="188">
        <f t="shared" si="86"/>
        <v>2871.0155</v>
      </c>
      <c r="CC83" s="218">
        <f>VLOOKUP(B:B,[3]门店完成率!$A:$Y,25,0)</f>
        <v>0.84448341013824901</v>
      </c>
      <c r="CD83" s="188">
        <f>CB83*0.5+CB83*0.5*CC83</f>
        <v>2647.77022999989</v>
      </c>
      <c r="CE83" s="188">
        <f t="shared" si="59"/>
        <v>2647.77</v>
      </c>
      <c r="CF83" s="188">
        <f t="shared" si="87"/>
        <v>-109.842</v>
      </c>
      <c r="CG83" s="188">
        <f t="shared" si="93"/>
        <v>-109.84</v>
      </c>
      <c r="FL83" s="159"/>
      <c r="FM83" s="159"/>
      <c r="FN83" s="159"/>
      <c r="FO83" s="159"/>
      <c r="FP83" s="159"/>
      <c r="FQ83" s="159"/>
      <c r="FR83" s="159"/>
      <c r="FS83" s="159"/>
      <c r="FT83" s="159"/>
      <c r="FU83" s="159"/>
      <c r="FV83" s="159"/>
      <c r="FW83" s="159"/>
      <c r="FX83" s="159"/>
      <c r="FY83" s="159"/>
      <c r="FZ83" s="159"/>
      <c r="GA83" s="159"/>
      <c r="GB83" s="159"/>
      <c r="GC83" s="159"/>
      <c r="GD83" s="159"/>
      <c r="GE83" s="159"/>
      <c r="GF83" s="159"/>
      <c r="GG83" s="159"/>
      <c r="GH83" s="159"/>
      <c r="GI83" s="159"/>
      <c r="GJ83" s="159"/>
      <c r="GK83" s="159"/>
      <c r="GL83" s="159"/>
      <c r="GM83" s="159"/>
      <c r="GN83" s="159"/>
      <c r="GO83" s="159"/>
      <c r="GP83" s="159"/>
      <c r="GQ83" s="159"/>
      <c r="GR83" s="159"/>
      <c r="GS83" s="159"/>
      <c r="GT83" s="159"/>
      <c r="GU83" s="159"/>
      <c r="GV83" s="159"/>
      <c r="GW83" s="159"/>
      <c r="GX83" s="159"/>
      <c r="GY83" s="159"/>
      <c r="GZ83" s="159"/>
      <c r="HA83" s="159"/>
      <c r="HB83" s="159"/>
      <c r="HC83" s="159"/>
      <c r="HD83" s="159"/>
      <c r="HE83" s="159"/>
    </row>
    <row r="84" spans="1:241" s="155" customFormat="1" ht="12.95" customHeight="1">
      <c r="A84" s="174">
        <v>77</v>
      </c>
      <c r="B84" s="174">
        <v>379</v>
      </c>
      <c r="C84" s="174" t="s">
        <v>126</v>
      </c>
      <c r="D84" s="174" t="s">
        <v>122</v>
      </c>
      <c r="E84" s="175">
        <v>4</v>
      </c>
      <c r="F84" s="175">
        <v>5</v>
      </c>
      <c r="G84" s="175">
        <v>6</v>
      </c>
      <c r="H84" s="175">
        <v>1</v>
      </c>
      <c r="I84" s="175">
        <v>4</v>
      </c>
      <c r="J84" s="165">
        <v>3</v>
      </c>
      <c r="K84" s="165">
        <f>VLOOKUP(B:B,[5]Sheet1!$I$1:$K$65536,3,0)</f>
        <v>1</v>
      </c>
      <c r="L84" s="165">
        <f>VLOOKUP(B:B,[5]Sheet1!$I$1:$M$65536,5,0)</f>
        <v>2</v>
      </c>
      <c r="M84" s="165">
        <f>VLOOKUP(B:B,[5]Sheet1!$I$1:$N$65536,6,0)</f>
        <v>0</v>
      </c>
      <c r="N84" s="165">
        <f t="shared" si="69"/>
        <v>-1</v>
      </c>
      <c r="O84" s="165">
        <f t="shared" si="70"/>
        <v>-1</v>
      </c>
      <c r="P84" s="165">
        <f>K84*70+L84*15+M84*40</f>
        <v>100</v>
      </c>
      <c r="Q84" s="165">
        <f>N84*15</f>
        <v>-15</v>
      </c>
      <c r="R84" s="191">
        <v>2095</v>
      </c>
      <c r="S84" s="192">
        <v>2304.5</v>
      </c>
      <c r="T84" s="192">
        <v>2514</v>
      </c>
      <c r="U84" s="192">
        <v>1</v>
      </c>
      <c r="V84" s="191">
        <v>2095</v>
      </c>
      <c r="W84" s="188">
        <f>VLOOKUP(B:B,[1]Sheet1!$F$1:$G$65536,2,0)</f>
        <v>2629.34</v>
      </c>
      <c r="X84" s="188">
        <f t="shared" si="71"/>
        <v>534.34</v>
      </c>
      <c r="Y84" s="188">
        <f t="shared" si="72"/>
        <v>534.34</v>
      </c>
      <c r="Z84" s="188">
        <f>W84*0.07</f>
        <v>184.0538</v>
      </c>
      <c r="AA84" s="191"/>
      <c r="AB84" s="175">
        <v>95</v>
      </c>
      <c r="AC84" s="200">
        <v>105</v>
      </c>
      <c r="AD84" s="200">
        <v>114</v>
      </c>
      <c r="AE84" s="201">
        <v>1</v>
      </c>
      <c r="AF84" s="202">
        <v>95</v>
      </c>
      <c r="AG84" s="206">
        <f>VLOOKUP(B:B,[1]Sheet3!$G$1:$H$65536,2,0)</f>
        <v>57</v>
      </c>
      <c r="AH84" s="206">
        <f>VLOOKUP(B:B,[1]Sheet5!$E$1:$F$65536,2,0)</f>
        <v>10</v>
      </c>
      <c r="AI84" s="206">
        <f>VLOOKUP(B:B,[1]Sheet8!$G$1:$H$65536,2,0)</f>
        <v>38</v>
      </c>
      <c r="AJ84" s="206">
        <f t="shared" si="73"/>
        <v>105</v>
      </c>
      <c r="AK84" s="196">
        <f t="shared" si="74"/>
        <v>10</v>
      </c>
      <c r="AL84" s="196">
        <f t="shared" si="75"/>
        <v>10</v>
      </c>
      <c r="AM84" s="196">
        <f>AG84*1+AH84*0.5+AI84*2</f>
        <v>138</v>
      </c>
      <c r="AN84" s="202"/>
      <c r="AO84" s="174">
        <v>537.29999999999995</v>
      </c>
      <c r="AP84" s="174">
        <v>591.03</v>
      </c>
      <c r="AQ84" s="174">
        <v>644.76</v>
      </c>
      <c r="AR84" s="174">
        <v>1</v>
      </c>
      <c r="AS84" s="174">
        <v>537.29999999999995</v>
      </c>
      <c r="AT84" s="188">
        <f>VLOOKUP(B:B,[1]Sheet10!$F$1:$G$65536,2,0)</f>
        <v>504.7</v>
      </c>
      <c r="AU84" s="188">
        <f>VLOOKUP(B:B,[1]Sheet12!$G$1:$H$65536,2,0)</f>
        <v>67</v>
      </c>
      <c r="AV84" s="188">
        <f t="shared" si="76"/>
        <v>571.70000000000005</v>
      </c>
      <c r="AW84" s="188">
        <f t="shared" si="77"/>
        <v>34.400000000000098</v>
      </c>
      <c r="AX84" s="188">
        <f t="shared" si="78"/>
        <v>34.400000000000098</v>
      </c>
      <c r="AY84" s="166">
        <f>AT84*0.05+AU84*0.03</f>
        <v>27.245000000000001</v>
      </c>
      <c r="AZ84" s="174"/>
      <c r="BA84" s="191">
        <v>6056.59</v>
      </c>
      <c r="BB84" s="188">
        <f>VLOOKUP(B:B,[1]Sheet14!$G$1:$I$65536,3,0)</f>
        <v>4810.2000000000098</v>
      </c>
      <c r="BC84" s="188">
        <v>599.36</v>
      </c>
      <c r="BD84" s="188">
        <f t="shared" si="79"/>
        <v>5409.5600000000104</v>
      </c>
      <c r="BE84" s="188">
        <f t="shared" si="80"/>
        <v>-647.02999999998997</v>
      </c>
      <c r="BF84" s="188">
        <f t="shared" si="81"/>
        <v>499.00080000000099</v>
      </c>
      <c r="BG84" s="210">
        <f>BE84*0.03</f>
        <v>-19.4108999999997</v>
      </c>
      <c r="BH84" s="174">
        <v>1679.76</v>
      </c>
      <c r="BI84" s="174">
        <v>1847.7360000000001</v>
      </c>
      <c r="BJ84" s="174">
        <v>2015.712</v>
      </c>
      <c r="BK84" s="174">
        <v>1</v>
      </c>
      <c r="BL84" s="174">
        <v>1679.76</v>
      </c>
      <c r="BM84" s="188">
        <f>VLOOKUP(B:B,[1]Sheet17!$E$1:$F$65536,2,0)</f>
        <v>719.75</v>
      </c>
      <c r="BN84" s="188">
        <f t="shared" si="82"/>
        <v>-960.01</v>
      </c>
      <c r="BO84" s="188">
        <f t="shared" si="83"/>
        <v>-960.01</v>
      </c>
      <c r="BP84" s="188">
        <f>BM84*0.15</f>
        <v>107.96250000000001</v>
      </c>
      <c r="BQ84" s="188">
        <f>BN84*0.05</f>
        <v>-48.000500000000002</v>
      </c>
      <c r="BR84" s="174">
        <v>10587.6</v>
      </c>
      <c r="BS84" s="174">
        <v>11646.36</v>
      </c>
      <c r="BT84" s="174">
        <v>12705.12</v>
      </c>
      <c r="BU84" s="174">
        <v>3</v>
      </c>
      <c r="BV84" s="174">
        <v>12705.12</v>
      </c>
      <c r="BW84" s="188">
        <f>VLOOKUP(B:B,[2]Sheet1!$G$1:$H$65536,2,0)</f>
        <v>11632.66</v>
      </c>
      <c r="BX84" s="188">
        <f t="shared" si="84"/>
        <v>1045.06</v>
      </c>
      <c r="BY84" s="188">
        <f t="shared" si="85"/>
        <v>-1072.46</v>
      </c>
      <c r="BZ84" s="166">
        <f>BW84*0.08</f>
        <v>930.61279999999999</v>
      </c>
      <c r="CA84" s="174"/>
      <c r="CB84" s="188">
        <f t="shared" si="86"/>
        <v>1986.8749</v>
      </c>
      <c r="CC84" s="218">
        <f>VLOOKUP(B:B,[3]门店完成率!$A:$Y,25,0)</f>
        <v>1.0303297311827999</v>
      </c>
      <c r="CD84" s="166">
        <f>CB84</f>
        <v>1986.8749</v>
      </c>
      <c r="CE84" s="188">
        <f t="shared" si="59"/>
        <v>1986.87</v>
      </c>
      <c r="CF84" s="188">
        <f t="shared" si="87"/>
        <v>-82.411399999999702</v>
      </c>
      <c r="CG84" s="188">
        <f t="shared" si="93"/>
        <v>-82.41</v>
      </c>
      <c r="FL84" s="159"/>
      <c r="FM84" s="159"/>
      <c r="FN84" s="159"/>
      <c r="FO84" s="159"/>
      <c r="FP84" s="159"/>
      <c r="FQ84" s="159"/>
      <c r="FR84" s="159"/>
      <c r="FS84" s="159"/>
      <c r="FT84" s="159"/>
      <c r="FU84" s="159"/>
      <c r="FV84" s="159"/>
      <c r="FW84" s="159"/>
      <c r="FX84" s="159"/>
      <c r="FY84" s="159"/>
      <c r="FZ84" s="159"/>
      <c r="GA84" s="159"/>
      <c r="GB84" s="159"/>
      <c r="GC84" s="159"/>
      <c r="GD84" s="159"/>
      <c r="GE84" s="159"/>
      <c r="GF84" s="159"/>
      <c r="GG84" s="159"/>
      <c r="GH84" s="159"/>
      <c r="GI84" s="159"/>
      <c r="GJ84" s="159"/>
      <c r="GK84" s="159"/>
      <c r="GL84" s="159"/>
      <c r="GM84" s="159"/>
      <c r="GN84" s="159"/>
      <c r="GO84" s="159"/>
      <c r="GP84" s="159"/>
      <c r="GQ84" s="159"/>
      <c r="GR84" s="159"/>
      <c r="GS84" s="159"/>
      <c r="GT84" s="159"/>
      <c r="GU84" s="159"/>
      <c r="GV84" s="159"/>
      <c r="GW84" s="159"/>
      <c r="GX84" s="159"/>
      <c r="GY84" s="159"/>
      <c r="GZ84" s="159"/>
      <c r="HA84" s="159"/>
      <c r="HB84" s="159"/>
      <c r="HC84" s="159"/>
      <c r="HD84" s="159"/>
      <c r="HE84" s="159"/>
    </row>
    <row r="85" spans="1:241" s="155" customFormat="1" ht="12.95" customHeight="1">
      <c r="A85" s="174">
        <v>78</v>
      </c>
      <c r="B85" s="174">
        <v>513</v>
      </c>
      <c r="C85" s="174" t="s">
        <v>127</v>
      </c>
      <c r="D85" s="174" t="s">
        <v>122</v>
      </c>
      <c r="E85" s="175">
        <v>4</v>
      </c>
      <c r="F85" s="175">
        <v>5</v>
      </c>
      <c r="G85" s="175">
        <v>6</v>
      </c>
      <c r="H85" s="175">
        <v>1</v>
      </c>
      <c r="I85" s="175">
        <v>4</v>
      </c>
      <c r="J85" s="165">
        <v>5</v>
      </c>
      <c r="K85" s="165">
        <f>VLOOKUP(B:B,[5]Sheet1!$I$1:$K$65536,3,0)</f>
        <v>1</v>
      </c>
      <c r="L85" s="165">
        <f>VLOOKUP(B:B,[5]Sheet1!$I$1:$M$65536,5,0)</f>
        <v>4</v>
      </c>
      <c r="M85" s="165">
        <f>VLOOKUP(B:B,[5]Sheet1!$I$1:$N$65536,6,0)</f>
        <v>0</v>
      </c>
      <c r="N85" s="165">
        <f t="shared" si="69"/>
        <v>1</v>
      </c>
      <c r="O85" s="165">
        <f t="shared" si="70"/>
        <v>1</v>
      </c>
      <c r="P85" s="165">
        <f>K85*90+L85*15+M85*40</f>
        <v>150</v>
      </c>
      <c r="Q85" s="165"/>
      <c r="R85" s="191">
        <v>2359</v>
      </c>
      <c r="S85" s="192">
        <v>2594.9</v>
      </c>
      <c r="T85" s="192">
        <v>2830.8</v>
      </c>
      <c r="U85" s="192">
        <v>3</v>
      </c>
      <c r="V85" s="191">
        <v>2830.8</v>
      </c>
      <c r="W85" s="188">
        <f>VLOOKUP(B:B,[1]Sheet1!$F$1:$G$65536,2,0)</f>
        <v>3775.38</v>
      </c>
      <c r="X85" s="188">
        <f t="shared" si="71"/>
        <v>1416.38</v>
      </c>
      <c r="Y85" s="188">
        <f t="shared" si="72"/>
        <v>944.58</v>
      </c>
      <c r="Z85" s="188">
        <f>W85*0.11</f>
        <v>415.29180000000002</v>
      </c>
      <c r="AA85" s="191"/>
      <c r="AB85" s="175">
        <v>121</v>
      </c>
      <c r="AC85" s="200">
        <v>133</v>
      </c>
      <c r="AD85" s="200">
        <v>145</v>
      </c>
      <c r="AE85" s="201">
        <v>1</v>
      </c>
      <c r="AF85" s="202">
        <v>121</v>
      </c>
      <c r="AG85" s="206">
        <f>VLOOKUP(B:B,[1]Sheet3!$G$1:$H$65536,2,0)</f>
        <v>53</v>
      </c>
      <c r="AH85" s="206">
        <f>VLOOKUP(B:B,[1]Sheet5!$E$1:$F$65536,2,0)</f>
        <v>22</v>
      </c>
      <c r="AI85" s="206">
        <f>VLOOKUP(B:B,[1]Sheet8!$G$1:$H$65536,2,0)</f>
        <v>46</v>
      </c>
      <c r="AJ85" s="206">
        <f t="shared" si="73"/>
        <v>121</v>
      </c>
      <c r="AK85" s="196">
        <f t="shared" si="74"/>
        <v>0</v>
      </c>
      <c r="AL85" s="196">
        <f t="shared" si="75"/>
        <v>0</v>
      </c>
      <c r="AM85" s="196">
        <f>AG85*1+AH85*0.5+AI85*2</f>
        <v>156</v>
      </c>
      <c r="AN85" s="202"/>
      <c r="AO85" s="174">
        <v>677.7</v>
      </c>
      <c r="AP85" s="174">
        <v>745.47</v>
      </c>
      <c r="AQ85" s="174">
        <v>813.24</v>
      </c>
      <c r="AR85" s="174">
        <v>1</v>
      </c>
      <c r="AS85" s="174">
        <v>677.7</v>
      </c>
      <c r="AT85" s="188">
        <f>VLOOKUP(B:B,[1]Sheet10!$F$1:$G$65536,2,0)</f>
        <v>629.75</v>
      </c>
      <c r="AU85" s="188">
        <f>VLOOKUP(B:B,[1]Sheet12!$G$1:$H$65536,2,0)</f>
        <v>639.4</v>
      </c>
      <c r="AV85" s="188">
        <f t="shared" si="76"/>
        <v>1269.1500000000001</v>
      </c>
      <c r="AW85" s="188">
        <f t="shared" si="77"/>
        <v>591.45000000000005</v>
      </c>
      <c r="AX85" s="188">
        <f t="shared" si="78"/>
        <v>591.45000000000005</v>
      </c>
      <c r="AY85" s="166">
        <f>AT85*0.05+AU85*0.03</f>
        <v>50.669499999999999</v>
      </c>
      <c r="AZ85" s="174"/>
      <c r="BA85" s="191">
        <f>VLOOKUP(B:B,[12]查询时间段分门店销售明细!$B$1:$X$65536,23,0)</f>
        <v>4840.3900000000003</v>
      </c>
      <c r="BB85" s="188">
        <f>VLOOKUP(B:B,[1]Sheet14!$G$1:$I$65536,3,0)</f>
        <v>3947.6400000000099</v>
      </c>
      <c r="BC85" s="188">
        <v>98.38</v>
      </c>
      <c r="BD85" s="188">
        <f t="shared" si="79"/>
        <v>4046.02000000001</v>
      </c>
      <c r="BE85" s="188">
        <f t="shared" si="80"/>
        <v>-794.36999999999</v>
      </c>
      <c r="BF85" s="188">
        <f t="shared" si="81"/>
        <v>397.71540000000101</v>
      </c>
      <c r="BG85" s="210">
        <f>BE85*0.03</f>
        <v>-23.831099999999701</v>
      </c>
      <c r="BH85" s="174">
        <v>2070.7199999999998</v>
      </c>
      <c r="BI85" s="174">
        <v>2277.7919999999999</v>
      </c>
      <c r="BJ85" s="174">
        <v>2484.864</v>
      </c>
      <c r="BK85" s="174">
        <v>1</v>
      </c>
      <c r="BL85" s="174">
        <v>2020.72</v>
      </c>
      <c r="BM85" s="188">
        <f>VLOOKUP(B:B,[1]Sheet17!$E$1:$F$65536,2,0)</f>
        <v>1084.1300000000001</v>
      </c>
      <c r="BN85" s="188">
        <f t="shared" si="82"/>
        <v>-986.59</v>
      </c>
      <c r="BO85" s="188">
        <f t="shared" si="83"/>
        <v>-936.59</v>
      </c>
      <c r="BP85" s="188">
        <f>BM85*0.15</f>
        <v>162.61949999999999</v>
      </c>
      <c r="BQ85" s="188">
        <f>BN85*0.05</f>
        <v>-49.329500000000003</v>
      </c>
      <c r="BR85" s="174">
        <v>16047.9</v>
      </c>
      <c r="BS85" s="174">
        <v>17652.689999999999</v>
      </c>
      <c r="BT85" s="174">
        <v>19257.48</v>
      </c>
      <c r="BU85" s="174">
        <v>1</v>
      </c>
      <c r="BV85" s="174">
        <v>16047.9</v>
      </c>
      <c r="BW85" s="188">
        <f>VLOOKUP(B:B,[2]Sheet1!$G$1:$H$65536,2,0)</f>
        <v>16469.23</v>
      </c>
      <c r="BX85" s="188">
        <f t="shared" si="84"/>
        <v>421.33</v>
      </c>
      <c r="BY85" s="188">
        <f t="shared" si="85"/>
        <v>421.33</v>
      </c>
      <c r="BZ85" s="166">
        <f>BW85*0.08</f>
        <v>1317.5383999999999</v>
      </c>
      <c r="CA85" s="174"/>
      <c r="CB85" s="188">
        <f t="shared" si="86"/>
        <v>2649.8346000000001</v>
      </c>
      <c r="CC85" s="218">
        <f>VLOOKUP(B:B,[3]门店完成率!$A:$Y,25,0)</f>
        <v>0.95309108159392797</v>
      </c>
      <c r="CD85" s="188">
        <f>CB85*0.5+CB85*0.5*CC85</f>
        <v>2587.6841624795102</v>
      </c>
      <c r="CE85" s="188">
        <f t="shared" ref="CE85:CE103" si="94">ROUND(CD85,2)</f>
        <v>2587.6799999999998</v>
      </c>
      <c r="CF85" s="188">
        <f t="shared" si="87"/>
        <v>-73.160599999999704</v>
      </c>
      <c r="CG85" s="188">
        <f t="shared" si="93"/>
        <v>-73.16</v>
      </c>
    </row>
    <row r="86" spans="1:241" s="155" customFormat="1" ht="12.95" customHeight="1">
      <c r="A86" s="174">
        <v>79</v>
      </c>
      <c r="B86" s="174">
        <v>570</v>
      </c>
      <c r="C86" s="174" t="s">
        <v>128</v>
      </c>
      <c r="D86" s="174" t="s">
        <v>122</v>
      </c>
      <c r="E86" s="175">
        <v>2</v>
      </c>
      <c r="F86" s="175">
        <v>3</v>
      </c>
      <c r="G86" s="175">
        <v>4</v>
      </c>
      <c r="H86" s="175">
        <v>1</v>
      </c>
      <c r="I86" s="175">
        <v>2</v>
      </c>
      <c r="J86" s="165">
        <v>0</v>
      </c>
      <c r="K86" s="165">
        <v>0</v>
      </c>
      <c r="L86" s="165">
        <v>0</v>
      </c>
      <c r="M86" s="165">
        <v>0</v>
      </c>
      <c r="N86" s="165">
        <f t="shared" si="69"/>
        <v>-2</v>
      </c>
      <c r="O86" s="165">
        <f t="shared" si="70"/>
        <v>-2</v>
      </c>
      <c r="P86" s="165">
        <f>K86*70+L86*15+M86*40</f>
        <v>0</v>
      </c>
      <c r="Q86" s="165">
        <f>N86*15</f>
        <v>-30</v>
      </c>
      <c r="R86" s="191">
        <v>1535</v>
      </c>
      <c r="S86" s="192">
        <v>1688.5</v>
      </c>
      <c r="T86" s="192">
        <v>1842</v>
      </c>
      <c r="U86" s="192">
        <v>1</v>
      </c>
      <c r="V86" s="191">
        <v>1535</v>
      </c>
      <c r="W86" s="188">
        <f>VLOOKUP(B:B,[1]Sheet1!$F$1:$G$65536,2,0)</f>
        <v>2085.54</v>
      </c>
      <c r="X86" s="188">
        <f t="shared" si="71"/>
        <v>550.54</v>
      </c>
      <c r="Y86" s="188">
        <f t="shared" si="72"/>
        <v>550.54</v>
      </c>
      <c r="Z86" s="188">
        <f>W86*0.07</f>
        <v>145.98779999999999</v>
      </c>
      <c r="AA86" s="191"/>
      <c r="AB86" s="175">
        <v>80</v>
      </c>
      <c r="AC86" s="200">
        <v>88</v>
      </c>
      <c r="AD86" s="200">
        <v>96</v>
      </c>
      <c r="AE86" s="201">
        <v>1</v>
      </c>
      <c r="AF86" s="202">
        <v>80</v>
      </c>
      <c r="AG86" s="206">
        <f>VLOOKUP(B:B,[1]Sheet3!$G$1:$H$65536,2,0)</f>
        <v>35</v>
      </c>
      <c r="AH86" s="206">
        <f>VLOOKUP(B:B,[1]Sheet5!$E$1:$F$65536,2,0)</f>
        <v>16</v>
      </c>
      <c r="AI86" s="206">
        <f>VLOOKUP(B:B,[1]Sheet8!$G$1:$H$65536,2,0)</f>
        <v>15</v>
      </c>
      <c r="AJ86" s="206">
        <f t="shared" si="73"/>
        <v>66</v>
      </c>
      <c r="AK86" s="196">
        <f t="shared" si="74"/>
        <v>-14</v>
      </c>
      <c r="AL86" s="196">
        <f t="shared" si="75"/>
        <v>-14</v>
      </c>
      <c r="AM86" s="202"/>
      <c r="AN86" s="196">
        <f>AK86*1</f>
        <v>-14</v>
      </c>
      <c r="AO86" s="174">
        <v>396.9</v>
      </c>
      <c r="AP86" s="174">
        <v>436.59</v>
      </c>
      <c r="AQ86" s="174">
        <v>476.28</v>
      </c>
      <c r="AR86" s="174">
        <v>1</v>
      </c>
      <c r="AS86" s="174">
        <v>396.9</v>
      </c>
      <c r="AT86" s="188">
        <f>VLOOKUP(B:B,[1]Sheet10!$F$1:$G$65536,2,0)</f>
        <v>180.54</v>
      </c>
      <c r="AU86" s="188">
        <f>VLOOKUP(B:B,[1]Sheet12!$G$1:$H$65536,2,0)</f>
        <v>75</v>
      </c>
      <c r="AV86" s="188">
        <f t="shared" si="76"/>
        <v>255.54</v>
      </c>
      <c r="AW86" s="188">
        <f t="shared" si="77"/>
        <v>-141.36000000000001</v>
      </c>
      <c r="AX86" s="188">
        <f t="shared" si="78"/>
        <v>-141.36000000000001</v>
      </c>
      <c r="AY86" s="174"/>
      <c r="AZ86" s="188">
        <f>AW86*0.04</f>
        <v>-5.6543999999999999</v>
      </c>
      <c r="BA86" s="191">
        <f>VLOOKUP(B:B,[9]查询时间段分门店销售明细!$B$1:$X$65536,23,0)</f>
        <v>3156.21</v>
      </c>
      <c r="BB86" s="188">
        <f>VLOOKUP(B:B,[1]Sheet14!$G$1:$I$65536,3,0)</f>
        <v>3861.9100000000099</v>
      </c>
      <c r="BC86" s="188">
        <v>51.42</v>
      </c>
      <c r="BD86" s="188">
        <f t="shared" si="79"/>
        <v>3913.3300000000099</v>
      </c>
      <c r="BE86" s="188">
        <f t="shared" si="80"/>
        <v>757.12000000001001</v>
      </c>
      <c r="BF86" s="188">
        <f t="shared" si="81"/>
        <v>387.73360000000099</v>
      </c>
      <c r="BG86" s="174"/>
      <c r="BH86" s="174">
        <v>1195.2</v>
      </c>
      <c r="BI86" s="174">
        <v>1314.72</v>
      </c>
      <c r="BJ86" s="174">
        <v>1434.24</v>
      </c>
      <c r="BK86" s="174">
        <v>1</v>
      </c>
      <c r="BL86" s="174">
        <v>1195.2</v>
      </c>
      <c r="BM86" s="188">
        <f>VLOOKUP(B:B,[1]Sheet17!$E$1:$F$65536,2,0)</f>
        <v>1426.42</v>
      </c>
      <c r="BN86" s="188">
        <f t="shared" si="82"/>
        <v>231.22</v>
      </c>
      <c r="BO86" s="188">
        <f t="shared" si="83"/>
        <v>231.22</v>
      </c>
      <c r="BP86" s="188">
        <f>BM86*0.15</f>
        <v>213.96299999999999</v>
      </c>
      <c r="BQ86" s="174"/>
      <c r="BR86" s="174">
        <v>9069.2999999999993</v>
      </c>
      <c r="BS86" s="174">
        <v>9976.23</v>
      </c>
      <c r="BT86" s="174">
        <v>10883.16</v>
      </c>
      <c r="BU86" s="174">
        <v>1</v>
      </c>
      <c r="BV86" s="174">
        <v>9069.2999999999993</v>
      </c>
      <c r="BW86" s="188">
        <f>VLOOKUP(B:B,[2]Sheet1!$G$1:$H$65536,2,0)</f>
        <v>7276.51</v>
      </c>
      <c r="BX86" s="188">
        <f t="shared" si="84"/>
        <v>-1792.79</v>
      </c>
      <c r="BY86" s="188">
        <f t="shared" si="85"/>
        <v>-1792.79</v>
      </c>
      <c r="BZ86" s="166">
        <f>BW86*0.08</f>
        <v>582.12080000000003</v>
      </c>
      <c r="CA86" s="174">
        <f>BX86*0.05</f>
        <v>-89.639499999999998</v>
      </c>
      <c r="CB86" s="188">
        <f t="shared" si="86"/>
        <v>1329.8052</v>
      </c>
      <c r="CC86" s="218">
        <f>VLOOKUP(B:B,[3]门店完成率!$A:$Y,25,0)</f>
        <v>0.94559144460028</v>
      </c>
      <c r="CD86" s="188">
        <f>CB86*0.5+CB86*0.5*CC86</f>
        <v>1293.62881005248</v>
      </c>
      <c r="CE86" s="188">
        <f t="shared" si="94"/>
        <v>1293.6300000000001</v>
      </c>
      <c r="CF86" s="188">
        <f t="shared" si="87"/>
        <v>-139.29390000000001</v>
      </c>
      <c r="CG86" s="188">
        <f t="shared" si="93"/>
        <v>-139.29</v>
      </c>
      <c r="FL86" s="159"/>
      <c r="FM86" s="159"/>
      <c r="FN86" s="159"/>
      <c r="FO86" s="159"/>
      <c r="FP86" s="159"/>
      <c r="FQ86" s="159"/>
      <c r="FR86" s="159"/>
      <c r="FS86" s="159"/>
      <c r="FT86" s="159"/>
      <c r="FU86" s="159"/>
      <c r="FV86" s="159"/>
      <c r="FW86" s="159"/>
      <c r="FX86" s="159"/>
      <c r="FY86" s="159"/>
      <c r="FZ86" s="159"/>
      <c r="GA86" s="159"/>
      <c r="GB86" s="159"/>
      <c r="GC86" s="159"/>
      <c r="GD86" s="159"/>
      <c r="GE86" s="159"/>
      <c r="GF86" s="159"/>
      <c r="GG86" s="159"/>
      <c r="GH86" s="159"/>
      <c r="GI86" s="159"/>
      <c r="GJ86" s="159"/>
      <c r="GK86" s="159"/>
      <c r="GL86" s="159"/>
      <c r="GM86" s="159"/>
      <c r="GN86" s="159"/>
      <c r="GO86" s="159"/>
      <c r="GP86" s="159"/>
      <c r="GQ86" s="159"/>
      <c r="GR86" s="159"/>
      <c r="GS86" s="159"/>
      <c r="GT86" s="159"/>
      <c r="GU86" s="159"/>
      <c r="GV86" s="159"/>
      <c r="GW86" s="159"/>
      <c r="GX86" s="159"/>
      <c r="GY86" s="159"/>
      <c r="GZ86" s="159"/>
      <c r="HA86" s="159"/>
      <c r="HB86" s="159"/>
      <c r="HC86" s="159"/>
      <c r="HD86" s="159"/>
      <c r="HE86" s="159"/>
      <c r="HF86" s="159"/>
      <c r="HG86" s="159"/>
      <c r="HH86" s="159"/>
      <c r="HI86" s="159"/>
      <c r="HJ86" s="159"/>
      <c r="HK86" s="159"/>
      <c r="HL86" s="159"/>
      <c r="HM86" s="159"/>
      <c r="HN86" s="159"/>
      <c r="HO86" s="159"/>
      <c r="HP86" s="159"/>
      <c r="HQ86" s="159"/>
      <c r="HR86" s="159"/>
      <c r="HS86" s="159"/>
      <c r="HT86" s="159"/>
      <c r="HU86" s="159"/>
      <c r="HV86" s="159"/>
      <c r="HW86" s="159"/>
      <c r="HX86" s="159"/>
      <c r="HY86" s="159"/>
      <c r="HZ86" s="159"/>
      <c r="IA86" s="159"/>
      <c r="IB86" s="159"/>
      <c r="IC86" s="159"/>
      <c r="ID86" s="159"/>
      <c r="IE86" s="159"/>
      <c r="IF86" s="159"/>
      <c r="IG86" s="159"/>
    </row>
    <row r="87" spans="1:241" s="155" customFormat="1" ht="12.95" customHeight="1">
      <c r="A87" s="174">
        <v>80</v>
      </c>
      <c r="B87" s="174">
        <v>745</v>
      </c>
      <c r="C87" s="174" t="s">
        <v>129</v>
      </c>
      <c r="D87" s="174" t="s">
        <v>122</v>
      </c>
      <c r="E87" s="175">
        <v>2</v>
      </c>
      <c r="F87" s="175">
        <v>3</v>
      </c>
      <c r="G87" s="175">
        <v>4</v>
      </c>
      <c r="H87" s="175">
        <v>1</v>
      </c>
      <c r="I87" s="175">
        <v>2</v>
      </c>
      <c r="J87" s="165">
        <v>0</v>
      </c>
      <c r="K87" s="165">
        <v>0</v>
      </c>
      <c r="L87" s="165">
        <v>0</v>
      </c>
      <c r="M87" s="165">
        <v>0</v>
      </c>
      <c r="N87" s="165">
        <f t="shared" si="69"/>
        <v>-2</v>
      </c>
      <c r="O87" s="165">
        <f t="shared" si="70"/>
        <v>-2</v>
      </c>
      <c r="P87" s="165">
        <f>K87*70+L87*15+M87*40</f>
        <v>0</v>
      </c>
      <c r="Q87" s="165">
        <f>N87*15</f>
        <v>-30</v>
      </c>
      <c r="R87" s="191">
        <v>2263</v>
      </c>
      <c r="S87" s="192">
        <v>2489.3000000000002</v>
      </c>
      <c r="T87" s="192">
        <v>2715.6</v>
      </c>
      <c r="U87" s="192">
        <v>1</v>
      </c>
      <c r="V87" s="191">
        <v>2263</v>
      </c>
      <c r="W87" s="188">
        <f>VLOOKUP(B:B,[1]Sheet1!$F$1:$G$65536,2,0)</f>
        <v>2127.0300000000002</v>
      </c>
      <c r="X87" s="188">
        <f t="shared" si="71"/>
        <v>-135.97</v>
      </c>
      <c r="Y87" s="188">
        <f t="shared" si="72"/>
        <v>-135.97</v>
      </c>
      <c r="Z87" s="191"/>
      <c r="AA87" s="197">
        <f>X87*0.05</f>
        <v>-6.79849999999999</v>
      </c>
      <c r="AB87" s="175">
        <v>81</v>
      </c>
      <c r="AC87" s="200">
        <v>89</v>
      </c>
      <c r="AD87" s="200">
        <v>97</v>
      </c>
      <c r="AE87" s="201">
        <v>1</v>
      </c>
      <c r="AF87" s="202">
        <v>81</v>
      </c>
      <c r="AG87" s="206">
        <f>VLOOKUP(B:B,[1]Sheet3!$G$1:$H$65536,2,0)</f>
        <v>56</v>
      </c>
      <c r="AH87" s="206">
        <f>VLOOKUP(B:B,[1]Sheet5!$E$1:$F$65536,2,0)</f>
        <v>15</v>
      </c>
      <c r="AI87" s="206">
        <f>VLOOKUP(B:B,[1]Sheet8!$G$1:$H$65536,2,0)</f>
        <v>30</v>
      </c>
      <c r="AJ87" s="206">
        <f t="shared" si="73"/>
        <v>101</v>
      </c>
      <c r="AK87" s="196">
        <f t="shared" si="74"/>
        <v>20</v>
      </c>
      <c r="AL87" s="196">
        <f t="shared" si="75"/>
        <v>20</v>
      </c>
      <c r="AM87" s="196">
        <f>AG87*1+AH87*0.5+AI87*2</f>
        <v>123.5</v>
      </c>
      <c r="AN87" s="202"/>
      <c r="AO87" s="174">
        <v>448.2</v>
      </c>
      <c r="AP87" s="174">
        <v>493.02</v>
      </c>
      <c r="AQ87" s="174">
        <v>537.84</v>
      </c>
      <c r="AR87" s="174">
        <v>1</v>
      </c>
      <c r="AS87" s="174">
        <v>448.2</v>
      </c>
      <c r="AT87" s="188">
        <f>VLOOKUP(B:B,[1]Sheet10!$F$1:$G$65536,2,0)</f>
        <v>235.55</v>
      </c>
      <c r="AU87" s="188">
        <f>VLOOKUP(B:B,[1]Sheet12!$G$1:$H$65536,2,0)</f>
        <v>560.79999999999995</v>
      </c>
      <c r="AV87" s="188">
        <f t="shared" si="76"/>
        <v>796.35</v>
      </c>
      <c r="AW87" s="188">
        <f t="shared" si="77"/>
        <v>348.15</v>
      </c>
      <c r="AX87" s="188">
        <f t="shared" si="78"/>
        <v>348.15</v>
      </c>
      <c r="AY87" s="166">
        <f>AT87*0.05+AU87*0.03</f>
        <v>28.601500000000001</v>
      </c>
      <c r="AZ87" s="174"/>
      <c r="BA87" s="191">
        <f>VLOOKUP(B:B,[12]查询时间段分门店销售明细!$B$1:$X$65536,23,0)</f>
        <v>2523.84</v>
      </c>
      <c r="BB87" s="188">
        <f>VLOOKUP(B:B,[1]Sheet14!$G$1:$I$65536,3,0)</f>
        <v>2237.15</v>
      </c>
      <c r="BC87" s="188">
        <v>172.4</v>
      </c>
      <c r="BD87" s="188">
        <f t="shared" si="79"/>
        <v>2409.5500000000002</v>
      </c>
      <c r="BE87" s="188">
        <f t="shared" si="80"/>
        <v>-114.29</v>
      </c>
      <c r="BF87" s="188">
        <f t="shared" si="81"/>
        <v>228.887</v>
      </c>
      <c r="BG87" s="210">
        <f>BE87*0.03</f>
        <v>-3.4287000000000001</v>
      </c>
      <c r="BH87" s="174">
        <v>1342.08</v>
      </c>
      <c r="BI87" s="174">
        <v>1476.288</v>
      </c>
      <c r="BJ87" s="174">
        <v>1610.4960000000001</v>
      </c>
      <c r="BK87" s="174">
        <v>1</v>
      </c>
      <c r="BL87" s="174">
        <v>1342.08</v>
      </c>
      <c r="BM87" s="188">
        <f>VLOOKUP(B:B,[1]Sheet17!$E$1:$F$65536,2,0)</f>
        <v>956.11</v>
      </c>
      <c r="BN87" s="188">
        <f t="shared" si="82"/>
        <v>-385.97</v>
      </c>
      <c r="BO87" s="188">
        <f t="shared" si="83"/>
        <v>-385.97</v>
      </c>
      <c r="BP87" s="188">
        <f t="shared" ref="BP87:BP93" si="95">BM87*0.15</f>
        <v>143.41650000000001</v>
      </c>
      <c r="BQ87" s="188">
        <f t="shared" ref="BQ87:BQ92" si="96">BN87*0.05</f>
        <v>-19.298500000000001</v>
      </c>
      <c r="BR87" s="174">
        <v>14346.9</v>
      </c>
      <c r="BS87" s="174">
        <v>15781.59</v>
      </c>
      <c r="BT87" s="174">
        <v>17216.28</v>
      </c>
      <c r="BU87" s="174">
        <v>2</v>
      </c>
      <c r="BV87" s="174">
        <v>15781.59</v>
      </c>
      <c r="BW87" s="188">
        <f>VLOOKUP(B:B,[2]Sheet1!$G$1:$H$65536,2,0)</f>
        <v>13951.37</v>
      </c>
      <c r="BX87" s="188">
        <f t="shared" si="84"/>
        <v>-395.52999999999901</v>
      </c>
      <c r="BY87" s="188">
        <f t="shared" si="85"/>
        <v>-1830.22</v>
      </c>
      <c r="BZ87" s="166">
        <f>BW87*0.08</f>
        <v>1116.1096</v>
      </c>
      <c r="CA87" s="174">
        <f>BX87*0.05</f>
        <v>-19.776499999999899</v>
      </c>
      <c r="CB87" s="188">
        <f t="shared" si="86"/>
        <v>1640.5146</v>
      </c>
      <c r="CC87" s="218">
        <f>VLOOKUP(B:B,[3]门店完成率!$A:$Y,25,0)</f>
        <v>0.817954838709677</v>
      </c>
      <c r="CD87" s="188">
        <f>CB87*0.5+CB87*0.5*CC87</f>
        <v>1491.1907275219401</v>
      </c>
      <c r="CE87" s="188">
        <f t="shared" si="94"/>
        <v>1491.19</v>
      </c>
      <c r="CF87" s="188">
        <f t="shared" si="87"/>
        <v>-79.3021999999999</v>
      </c>
      <c r="CG87" s="188">
        <f t="shared" si="93"/>
        <v>-79.3</v>
      </c>
      <c r="FT87" s="159"/>
      <c r="FU87" s="159"/>
      <c r="FV87" s="159"/>
      <c r="FW87" s="159"/>
      <c r="FX87" s="159"/>
      <c r="FY87" s="159"/>
      <c r="FZ87" s="159"/>
      <c r="GA87" s="159"/>
      <c r="GB87" s="159"/>
      <c r="GC87" s="159"/>
      <c r="GD87" s="159"/>
      <c r="GE87" s="159"/>
      <c r="GF87" s="159"/>
      <c r="GG87" s="159"/>
      <c r="GH87" s="159"/>
      <c r="GI87" s="159"/>
      <c r="GJ87" s="159"/>
      <c r="GK87" s="159"/>
      <c r="GL87" s="159"/>
      <c r="GM87" s="159"/>
      <c r="GN87" s="159"/>
      <c r="GO87" s="159"/>
      <c r="GP87" s="159"/>
      <c r="GQ87" s="159"/>
      <c r="GR87" s="159"/>
      <c r="GS87" s="159"/>
      <c r="GT87" s="159"/>
      <c r="GU87" s="159"/>
      <c r="GV87" s="159"/>
      <c r="GW87" s="159"/>
      <c r="GX87" s="159"/>
      <c r="GY87" s="159"/>
      <c r="GZ87" s="159"/>
      <c r="HA87" s="159"/>
      <c r="HB87" s="159"/>
      <c r="HC87" s="159"/>
      <c r="HD87" s="159"/>
      <c r="HE87" s="159"/>
    </row>
    <row r="88" spans="1:241" s="155" customFormat="1" ht="12.95" customHeight="1">
      <c r="A88" s="174">
        <v>81</v>
      </c>
      <c r="B88" s="174">
        <v>582</v>
      </c>
      <c r="C88" s="174" t="s">
        <v>130</v>
      </c>
      <c r="D88" s="174" t="s">
        <v>122</v>
      </c>
      <c r="E88" s="175">
        <v>3</v>
      </c>
      <c r="F88" s="175">
        <v>4</v>
      </c>
      <c r="G88" s="175">
        <v>5</v>
      </c>
      <c r="H88" s="175">
        <v>1</v>
      </c>
      <c r="I88" s="175">
        <v>3</v>
      </c>
      <c r="J88" s="165">
        <v>3.4339</v>
      </c>
      <c r="K88" s="165">
        <f>VLOOKUP(B:B,[5]Sheet1!$I$1:$K$65536,3,0)</f>
        <v>0.43390000000000001</v>
      </c>
      <c r="L88" s="165">
        <f>VLOOKUP(B:B,[5]Sheet1!$I$1:$M$65536,5,0)</f>
        <v>0</v>
      </c>
      <c r="M88" s="165">
        <f>VLOOKUP(B:B,[5]Sheet1!$I$1:$N$65536,6,0)</f>
        <v>2</v>
      </c>
      <c r="N88" s="165">
        <f t="shared" si="69"/>
        <v>0.43390000000000001</v>
      </c>
      <c r="O88" s="165">
        <f t="shared" si="70"/>
        <v>0.43390000000000001</v>
      </c>
      <c r="P88" s="165">
        <f>K88*90+L88*15+M88*40</f>
        <v>119.051</v>
      </c>
      <c r="Q88" s="165"/>
      <c r="R88" s="191">
        <v>3852</v>
      </c>
      <c r="S88" s="192">
        <v>4237.2</v>
      </c>
      <c r="T88" s="192">
        <v>4622.3999999999996</v>
      </c>
      <c r="U88" s="192">
        <v>1</v>
      </c>
      <c r="V88" s="191">
        <v>3852</v>
      </c>
      <c r="W88" s="188">
        <f>VLOOKUP(B:B,[1]Sheet1!$F$1:$G$65536,2,0)</f>
        <v>4141.13</v>
      </c>
      <c r="X88" s="188">
        <f t="shared" si="71"/>
        <v>289.13</v>
      </c>
      <c r="Y88" s="188">
        <f t="shared" si="72"/>
        <v>289.13</v>
      </c>
      <c r="Z88" s="188">
        <f>W88*0.07</f>
        <v>289.87909999999999</v>
      </c>
      <c r="AA88" s="191"/>
      <c r="AB88" s="175">
        <v>223</v>
      </c>
      <c r="AC88" s="200">
        <v>245</v>
      </c>
      <c r="AD88" s="200">
        <v>268</v>
      </c>
      <c r="AE88" s="201">
        <v>1</v>
      </c>
      <c r="AF88" s="202">
        <v>223</v>
      </c>
      <c r="AG88" s="206">
        <f>VLOOKUP(B:B,[1]Sheet3!$G$1:$H$65536,2,0)</f>
        <v>91</v>
      </c>
      <c r="AH88" s="206">
        <f>VLOOKUP(B:B,[1]Sheet5!$E$1:$F$65536,2,0)</f>
        <v>28</v>
      </c>
      <c r="AI88" s="206">
        <f>VLOOKUP(B:B,[1]Sheet8!$G$1:$H$65536,2,0)</f>
        <v>39</v>
      </c>
      <c r="AJ88" s="206">
        <f t="shared" si="73"/>
        <v>158</v>
      </c>
      <c r="AK88" s="196">
        <f t="shared" si="74"/>
        <v>-65</v>
      </c>
      <c r="AL88" s="196">
        <f t="shared" si="75"/>
        <v>-65</v>
      </c>
      <c r="AM88" s="202"/>
      <c r="AN88" s="196">
        <f>AK88*1</f>
        <v>-65</v>
      </c>
      <c r="AO88" s="174">
        <v>1222.2</v>
      </c>
      <c r="AP88" s="174">
        <v>1344.42</v>
      </c>
      <c r="AQ88" s="174">
        <v>1466.64</v>
      </c>
      <c r="AR88" s="174">
        <v>1</v>
      </c>
      <c r="AS88" s="174">
        <v>1222.2</v>
      </c>
      <c r="AT88" s="188">
        <f>VLOOKUP(B:B,[1]Sheet10!$F$1:$G$65536,2,0)</f>
        <v>642.75</v>
      </c>
      <c r="AU88" s="188">
        <f>VLOOKUP(B:B,[1]Sheet12!$G$1:$H$65536,2,0)</f>
        <v>795</v>
      </c>
      <c r="AV88" s="188">
        <f t="shared" si="76"/>
        <v>1437.75</v>
      </c>
      <c r="AW88" s="188">
        <f t="shared" si="77"/>
        <v>215.55</v>
      </c>
      <c r="AX88" s="188">
        <f t="shared" si="78"/>
        <v>215.55</v>
      </c>
      <c r="AY88" s="166">
        <f>AT88*0.05+AU88*0.03</f>
        <v>55.987499999999997</v>
      </c>
      <c r="AZ88" s="174"/>
      <c r="BA88" s="191">
        <v>5575.2</v>
      </c>
      <c r="BB88" s="188">
        <f>VLOOKUP(B:B,[1]Sheet14!$G$1:$I$65536,3,0)</f>
        <v>5731.21000000002</v>
      </c>
      <c r="BC88" s="188">
        <v>13.85</v>
      </c>
      <c r="BD88" s="188">
        <f t="shared" si="79"/>
        <v>5745.0600000000204</v>
      </c>
      <c r="BE88" s="188">
        <f t="shared" si="80"/>
        <v>169.86000000002099</v>
      </c>
      <c r="BF88" s="188">
        <f t="shared" si="81"/>
        <v>573.53650000000198</v>
      </c>
      <c r="BG88" s="174"/>
      <c r="BH88" s="174">
        <v>5752.8</v>
      </c>
      <c r="BI88" s="174">
        <v>6328.08</v>
      </c>
      <c r="BJ88" s="174">
        <v>6903.36</v>
      </c>
      <c r="BK88" s="174">
        <v>1</v>
      </c>
      <c r="BL88" s="174">
        <v>5752.8</v>
      </c>
      <c r="BM88" s="188">
        <f>VLOOKUP(B:B,[1]Sheet17!$E$1:$F$65536,2,0)</f>
        <v>3485.25</v>
      </c>
      <c r="BN88" s="188">
        <f t="shared" si="82"/>
        <v>-2267.5500000000002</v>
      </c>
      <c r="BO88" s="188">
        <f t="shared" si="83"/>
        <v>-2267.5500000000002</v>
      </c>
      <c r="BP88" s="188">
        <f t="shared" si="95"/>
        <v>522.78750000000002</v>
      </c>
      <c r="BQ88" s="188">
        <f t="shared" si="96"/>
        <v>-113.3775</v>
      </c>
      <c r="BR88" s="174">
        <v>43447.428</v>
      </c>
      <c r="BS88" s="174">
        <v>47792.1708</v>
      </c>
      <c r="BT88" s="174">
        <v>52136.9136</v>
      </c>
      <c r="BU88" s="174">
        <v>2</v>
      </c>
      <c r="BV88" s="174">
        <v>47792.1708</v>
      </c>
      <c r="BW88" s="188">
        <f>VLOOKUP(B:B,[2]Sheet1!$G$1:$H$65536,2,0)</f>
        <v>48844.34</v>
      </c>
      <c r="BX88" s="188">
        <f t="shared" si="84"/>
        <v>5396.9120000000003</v>
      </c>
      <c r="BY88" s="188">
        <f t="shared" si="85"/>
        <v>1052.1692</v>
      </c>
      <c r="BZ88" s="188">
        <f>BW88*0.1</f>
        <v>4884.4340000000002</v>
      </c>
      <c r="CA88" s="174"/>
      <c r="CB88" s="188">
        <f t="shared" si="86"/>
        <v>6445.6755999999996</v>
      </c>
      <c r="CC88" s="218">
        <f>VLOOKUP(B:B,[3]门店完成率!$A:$Y,25,0)</f>
        <v>1.0392527354838701</v>
      </c>
      <c r="CD88" s="166">
        <f>CB88</f>
        <v>6445.6755999999996</v>
      </c>
      <c r="CE88" s="188">
        <f t="shared" si="94"/>
        <v>6445.68</v>
      </c>
      <c r="CF88" s="188">
        <f t="shared" si="87"/>
        <v>-178.3775</v>
      </c>
      <c r="CG88" s="188">
        <f t="shared" si="93"/>
        <v>-178.38</v>
      </c>
    </row>
    <row r="89" spans="1:241" s="155" customFormat="1" ht="12.95" customHeight="1">
      <c r="A89" s="174">
        <v>82</v>
      </c>
      <c r="B89" s="174">
        <v>347</v>
      </c>
      <c r="C89" s="174" t="s">
        <v>131</v>
      </c>
      <c r="D89" s="174" t="s">
        <v>122</v>
      </c>
      <c r="E89" s="175">
        <v>2</v>
      </c>
      <c r="F89" s="175">
        <v>3</v>
      </c>
      <c r="G89" s="175">
        <v>4</v>
      </c>
      <c r="H89" s="175">
        <v>1</v>
      </c>
      <c r="I89" s="175">
        <v>2</v>
      </c>
      <c r="J89" s="165">
        <v>0</v>
      </c>
      <c r="K89" s="165">
        <v>0</v>
      </c>
      <c r="L89" s="165">
        <v>0</v>
      </c>
      <c r="M89" s="165">
        <v>0</v>
      </c>
      <c r="N89" s="165">
        <f t="shared" si="69"/>
        <v>-2</v>
      </c>
      <c r="O89" s="165">
        <f t="shared" si="70"/>
        <v>-2</v>
      </c>
      <c r="P89" s="165">
        <f>K89*70+L89*15+M89*40</f>
        <v>0</v>
      </c>
      <c r="Q89" s="165">
        <f>N89*15</f>
        <v>-30</v>
      </c>
      <c r="R89" s="191">
        <v>1907</v>
      </c>
      <c r="S89" s="192">
        <v>2097.6999999999998</v>
      </c>
      <c r="T89" s="192">
        <v>2288.4</v>
      </c>
      <c r="U89" s="192">
        <v>1</v>
      </c>
      <c r="V89" s="191">
        <v>1907</v>
      </c>
      <c r="W89" s="188">
        <f>VLOOKUP(B:B,[1]Sheet1!$F$1:$G$65536,2,0)</f>
        <v>417</v>
      </c>
      <c r="X89" s="188">
        <f t="shared" si="71"/>
        <v>-1490</v>
      </c>
      <c r="Y89" s="188">
        <f t="shared" si="72"/>
        <v>-1490</v>
      </c>
      <c r="Z89" s="191"/>
      <c r="AA89" s="197">
        <f>X89*0.05</f>
        <v>-74.5</v>
      </c>
      <c r="AB89" s="175">
        <v>93</v>
      </c>
      <c r="AC89" s="200">
        <v>102</v>
      </c>
      <c r="AD89" s="200">
        <v>112</v>
      </c>
      <c r="AE89" s="201">
        <v>2</v>
      </c>
      <c r="AF89" s="202">
        <v>102</v>
      </c>
      <c r="AG89" s="206">
        <f>VLOOKUP(B:B,[1]Sheet3!$G$1:$H$65536,2,0)</f>
        <v>85</v>
      </c>
      <c r="AH89" s="206">
        <f>VLOOKUP(B:B,[1]Sheet5!$E$1:$F$65536,2,0)</f>
        <v>7</v>
      </c>
      <c r="AI89" s="206">
        <f>VLOOKUP(B:B,[1]Sheet8!$G$1:$H$65536,2,0)</f>
        <v>30</v>
      </c>
      <c r="AJ89" s="206">
        <f t="shared" si="73"/>
        <v>122</v>
      </c>
      <c r="AK89" s="196">
        <f t="shared" si="74"/>
        <v>29</v>
      </c>
      <c r="AL89" s="196">
        <f t="shared" si="75"/>
        <v>20</v>
      </c>
      <c r="AM89" s="196">
        <f>AG89*1.5+AH89*1+AI89*3</f>
        <v>224.5</v>
      </c>
      <c r="AN89" s="202"/>
      <c r="AO89" s="174">
        <v>432</v>
      </c>
      <c r="AP89" s="174">
        <v>475.2</v>
      </c>
      <c r="AQ89" s="174">
        <v>518.4</v>
      </c>
      <c r="AR89" s="174"/>
      <c r="AS89" s="174"/>
      <c r="AT89" s="188">
        <f>VLOOKUP(B:B,[1]Sheet10!$F$1:$G$65536,2,0)</f>
        <v>144.4</v>
      </c>
      <c r="AU89" s="188">
        <f>VLOOKUP(B:B,[1]Sheet12!$G$1:$H$65536,2,0)</f>
        <v>37</v>
      </c>
      <c r="AV89" s="188">
        <f t="shared" si="76"/>
        <v>181.4</v>
      </c>
      <c r="AW89" s="188">
        <f t="shared" si="77"/>
        <v>-250.6</v>
      </c>
      <c r="AX89" s="188">
        <f t="shared" si="78"/>
        <v>181.4</v>
      </c>
      <c r="AY89" s="166">
        <f>AT89*0.05+AU89*0.03</f>
        <v>8.33</v>
      </c>
      <c r="AZ89" s="188">
        <f>AW89*0.04</f>
        <v>-10.023999999999999</v>
      </c>
      <c r="BA89" s="191">
        <f>VLOOKUP(B:B,[11]查询时间段分门店销售明细!$B$1:$X$65536,23,0)</f>
        <v>2904.74</v>
      </c>
      <c r="BB89" s="188">
        <f>VLOOKUP(B:B,[1]Sheet14!$G$1:$I$65536,3,0)</f>
        <v>2397.81</v>
      </c>
      <c r="BC89" s="188">
        <v>53.55</v>
      </c>
      <c r="BD89" s="188">
        <f t="shared" si="79"/>
        <v>2451.36</v>
      </c>
      <c r="BE89" s="188">
        <f t="shared" si="80"/>
        <v>-453.38</v>
      </c>
      <c r="BF89" s="188">
        <f t="shared" si="81"/>
        <v>241.38749999999999</v>
      </c>
      <c r="BG89" s="210">
        <f>BE89*0.03</f>
        <v>-13.6014</v>
      </c>
      <c r="BH89" s="174">
        <v>1415.52</v>
      </c>
      <c r="BI89" s="174">
        <v>1557.0719999999999</v>
      </c>
      <c r="BJ89" s="174">
        <v>1698.624</v>
      </c>
      <c r="BK89" s="174">
        <v>1</v>
      </c>
      <c r="BL89" s="174">
        <v>1415.52</v>
      </c>
      <c r="BM89" s="188">
        <f>VLOOKUP(B:B,[1]Sheet17!$E$1:$F$65536,2,0)</f>
        <v>906.99</v>
      </c>
      <c r="BN89" s="188">
        <f t="shared" si="82"/>
        <v>-508.53</v>
      </c>
      <c r="BO89" s="188">
        <f t="shared" si="83"/>
        <v>-508.53</v>
      </c>
      <c r="BP89" s="188">
        <f t="shared" si="95"/>
        <v>136.04849999999999</v>
      </c>
      <c r="BQ89" s="188">
        <f t="shared" si="96"/>
        <v>-25.426500000000001</v>
      </c>
      <c r="BR89" s="174">
        <v>15463.8</v>
      </c>
      <c r="BS89" s="174">
        <v>17010.18</v>
      </c>
      <c r="BT89" s="174">
        <v>18556.560000000001</v>
      </c>
      <c r="BU89" s="174">
        <v>1</v>
      </c>
      <c r="BV89" s="174">
        <v>15463.8</v>
      </c>
      <c r="BW89" s="188">
        <f>VLOOKUP(B:B,[2]Sheet1!$G$1:$H$65536,2,0)</f>
        <v>4920.37</v>
      </c>
      <c r="BX89" s="188">
        <f t="shared" si="84"/>
        <v>-10543.43</v>
      </c>
      <c r="BY89" s="188">
        <f t="shared" si="85"/>
        <v>-10543.43</v>
      </c>
      <c r="BZ89" s="166">
        <f>BW89*0.08</f>
        <v>393.62959999999998</v>
      </c>
      <c r="CA89" s="174">
        <f>BX89*0.05</f>
        <v>-527.17150000000004</v>
      </c>
      <c r="CB89" s="188">
        <f t="shared" si="86"/>
        <v>1003.8955999999999</v>
      </c>
      <c r="CC89" s="218">
        <f>VLOOKUP(B:B,[3]门店完成率!$A:$Y,25,0)</f>
        <v>0.80340322580645196</v>
      </c>
      <c r="CD89" s="188">
        <f>CB89*0.5+CB89*0.5*CC89</f>
        <v>905.21428170645197</v>
      </c>
      <c r="CE89" s="188">
        <f t="shared" si="94"/>
        <v>905.21</v>
      </c>
      <c r="CF89" s="188">
        <f t="shared" si="87"/>
        <v>-680.72339999999997</v>
      </c>
      <c r="CG89" s="188">
        <f t="shared" si="93"/>
        <v>-680.72</v>
      </c>
    </row>
    <row r="90" spans="1:241" s="155" customFormat="1" ht="12.95" customHeight="1">
      <c r="A90" s="174">
        <v>83</v>
      </c>
      <c r="B90" s="174">
        <v>311</v>
      </c>
      <c r="C90" s="174" t="s">
        <v>132</v>
      </c>
      <c r="D90" s="174" t="s">
        <v>122</v>
      </c>
      <c r="E90" s="175">
        <v>2</v>
      </c>
      <c r="F90" s="175">
        <v>3</v>
      </c>
      <c r="G90" s="175">
        <v>4</v>
      </c>
      <c r="H90" s="175">
        <v>1</v>
      </c>
      <c r="I90" s="175">
        <v>2</v>
      </c>
      <c r="J90" s="165">
        <v>0</v>
      </c>
      <c r="K90" s="165">
        <v>0</v>
      </c>
      <c r="L90" s="165">
        <v>0</v>
      </c>
      <c r="M90" s="165">
        <v>0</v>
      </c>
      <c r="N90" s="165">
        <f t="shared" si="69"/>
        <v>-2</v>
      </c>
      <c r="O90" s="165">
        <f t="shared" si="70"/>
        <v>-2</v>
      </c>
      <c r="P90" s="165">
        <f>K90*70+L90*15+M90*40</f>
        <v>0</v>
      </c>
      <c r="Q90" s="165">
        <f>N90*15</f>
        <v>-30</v>
      </c>
      <c r="R90" s="191">
        <v>3042</v>
      </c>
      <c r="S90" s="192">
        <v>3346.2</v>
      </c>
      <c r="T90" s="192">
        <v>3650.4</v>
      </c>
      <c r="U90" s="192">
        <v>1</v>
      </c>
      <c r="V90" s="191">
        <v>3042</v>
      </c>
      <c r="W90" s="188">
        <f>VLOOKUP(B:B,[1]Sheet1!$F$1:$G$65536,2,0)</f>
        <v>5112.55</v>
      </c>
      <c r="X90" s="188">
        <f t="shared" si="71"/>
        <v>2070.5500000000002</v>
      </c>
      <c r="Y90" s="188">
        <f t="shared" si="72"/>
        <v>2070.5500000000002</v>
      </c>
      <c r="Z90" s="188">
        <f>W90*0.07</f>
        <v>357.87849999999997</v>
      </c>
      <c r="AA90" s="191"/>
      <c r="AB90" s="175">
        <v>79</v>
      </c>
      <c r="AC90" s="200">
        <v>87</v>
      </c>
      <c r="AD90" s="200">
        <v>95</v>
      </c>
      <c r="AE90" s="201">
        <v>1</v>
      </c>
      <c r="AF90" s="202">
        <v>79</v>
      </c>
      <c r="AG90" s="206">
        <f>VLOOKUP(B:B,[1]Sheet3!$G$1:$H$65536,2,0)</f>
        <v>14</v>
      </c>
      <c r="AH90" s="206">
        <f>VLOOKUP(B:B,[1]Sheet5!$E$1:$F$65536,2,0)</f>
        <v>4</v>
      </c>
      <c r="AI90" s="206">
        <v>0</v>
      </c>
      <c r="AJ90" s="206">
        <f t="shared" si="73"/>
        <v>18</v>
      </c>
      <c r="AK90" s="196">
        <f t="shared" si="74"/>
        <v>-61</v>
      </c>
      <c r="AL90" s="196">
        <f t="shared" si="75"/>
        <v>-61</v>
      </c>
      <c r="AM90" s="202"/>
      <c r="AN90" s="196">
        <f>AK90*1</f>
        <v>-61</v>
      </c>
      <c r="AO90" s="174">
        <v>396.9</v>
      </c>
      <c r="AP90" s="174">
        <v>436.59</v>
      </c>
      <c r="AQ90" s="174">
        <v>476.28</v>
      </c>
      <c r="AR90" s="174">
        <v>1</v>
      </c>
      <c r="AS90" s="174">
        <v>396.9</v>
      </c>
      <c r="AT90" s="188">
        <f>VLOOKUP(B:B,[1]Sheet10!$F$1:$G$65536,2,0)</f>
        <v>19.899999999999999</v>
      </c>
      <c r="AU90" s="188">
        <f>VLOOKUP(B:B,[1]Sheet12!$G$1:$H$65536,2,0)</f>
        <v>114</v>
      </c>
      <c r="AV90" s="188">
        <f t="shared" si="76"/>
        <v>133.9</v>
      </c>
      <c r="AW90" s="188">
        <f t="shared" si="77"/>
        <v>-263</v>
      </c>
      <c r="AX90" s="188">
        <f t="shared" si="78"/>
        <v>-263</v>
      </c>
      <c r="AY90" s="174"/>
      <c r="AZ90" s="188">
        <f>AW90*0.04</f>
        <v>-10.52</v>
      </c>
      <c r="BA90" s="191">
        <f>VLOOKUP(B:B,[9]查询时间段分门店销售明细!$B$1:$X$65536,23,0)</f>
        <v>18651.8</v>
      </c>
      <c r="BB90" s="188">
        <f>VLOOKUP(B:B,[1]Sheet14!$G$1:$I$65536,3,0)</f>
        <v>33413.97</v>
      </c>
      <c r="BC90" s="188">
        <v>0</v>
      </c>
      <c r="BD90" s="188">
        <f t="shared" si="79"/>
        <v>33413.97</v>
      </c>
      <c r="BE90" s="188">
        <f t="shared" si="80"/>
        <v>14762.17</v>
      </c>
      <c r="BF90" s="188">
        <f t="shared" si="81"/>
        <v>3341.3969999999999</v>
      </c>
      <c r="BG90" s="174"/>
      <c r="BH90" s="174">
        <v>1719.36</v>
      </c>
      <c r="BI90" s="174">
        <v>1891.296</v>
      </c>
      <c r="BJ90" s="174">
        <v>2063.232</v>
      </c>
      <c r="BK90" s="174">
        <v>1</v>
      </c>
      <c r="BL90" s="174">
        <v>1891.296</v>
      </c>
      <c r="BM90" s="188">
        <f>VLOOKUP(B:B,[1]Sheet17!$E$1:$F$65536,2,0)</f>
        <v>1123</v>
      </c>
      <c r="BN90" s="188">
        <f t="shared" si="82"/>
        <v>-596.36</v>
      </c>
      <c r="BO90" s="188">
        <f t="shared" si="83"/>
        <v>-768.29600000000005</v>
      </c>
      <c r="BP90" s="188">
        <f t="shared" si="95"/>
        <v>168.45</v>
      </c>
      <c r="BQ90" s="188">
        <f t="shared" si="96"/>
        <v>-29.818000000000001</v>
      </c>
      <c r="BR90" s="174">
        <v>7254.9</v>
      </c>
      <c r="BS90" s="174">
        <v>7980.39</v>
      </c>
      <c r="BT90" s="174">
        <v>8705.8799999999992</v>
      </c>
      <c r="BU90" s="174">
        <v>1</v>
      </c>
      <c r="BV90" s="174">
        <v>7254.9</v>
      </c>
      <c r="BW90" s="188">
        <f>VLOOKUP(B:B,[2]Sheet1!$G$1:$H$65536,2,0)</f>
        <v>5895.39</v>
      </c>
      <c r="BX90" s="188">
        <f t="shared" si="84"/>
        <v>-1359.51</v>
      </c>
      <c r="BY90" s="188">
        <f t="shared" si="85"/>
        <v>-1359.51</v>
      </c>
      <c r="BZ90" s="166">
        <f>BW90*0.08</f>
        <v>471.63119999999998</v>
      </c>
      <c r="CA90" s="174">
        <f>BX90*0.05</f>
        <v>-67.975499999999997</v>
      </c>
      <c r="CB90" s="188">
        <f t="shared" si="86"/>
        <v>4339.3567000000003</v>
      </c>
      <c r="CC90" s="218">
        <f>VLOOKUP(B:B,[3]门店完成率!$A:$Y,25,0)</f>
        <v>1.10625260997067</v>
      </c>
      <c r="CD90" s="166">
        <f>CB90</f>
        <v>4339.3567000000003</v>
      </c>
      <c r="CE90" s="188">
        <f t="shared" si="94"/>
        <v>4339.3599999999997</v>
      </c>
      <c r="CF90" s="188">
        <f t="shared" si="87"/>
        <v>-199.3135</v>
      </c>
      <c r="CG90" s="223">
        <v>0</v>
      </c>
      <c r="FL90" s="159"/>
      <c r="FM90" s="159"/>
      <c r="FN90" s="159"/>
      <c r="FO90" s="159"/>
      <c r="FP90" s="159"/>
      <c r="FQ90" s="159"/>
      <c r="FR90" s="159"/>
      <c r="FS90" s="159"/>
      <c r="FT90" s="159"/>
      <c r="FU90" s="159"/>
      <c r="FV90" s="159"/>
      <c r="FW90" s="159"/>
      <c r="FX90" s="159"/>
      <c r="FY90" s="159"/>
      <c r="FZ90" s="159"/>
      <c r="GA90" s="159"/>
      <c r="GB90" s="159"/>
      <c r="GC90" s="159"/>
      <c r="GD90" s="159"/>
      <c r="GE90" s="159"/>
      <c r="GF90" s="159"/>
      <c r="GG90" s="159"/>
      <c r="GH90" s="159"/>
      <c r="GI90" s="159"/>
      <c r="GJ90" s="159"/>
      <c r="GK90" s="159"/>
      <c r="GL90" s="159"/>
      <c r="GM90" s="159"/>
      <c r="GN90" s="159"/>
      <c r="GO90" s="159"/>
      <c r="GP90" s="159"/>
      <c r="GQ90" s="159"/>
      <c r="GR90" s="159"/>
      <c r="GS90" s="159"/>
      <c r="GT90" s="159"/>
      <c r="GU90" s="159"/>
      <c r="GV90" s="159"/>
      <c r="GW90" s="159"/>
      <c r="GX90" s="159"/>
      <c r="GY90" s="159"/>
      <c r="GZ90" s="159"/>
      <c r="HA90" s="159"/>
      <c r="HB90" s="159"/>
      <c r="HC90" s="159"/>
      <c r="HD90" s="159"/>
      <c r="HE90" s="159"/>
    </row>
    <row r="91" spans="1:241" s="155" customFormat="1" ht="12.95" customHeight="1">
      <c r="A91" s="174">
        <v>84</v>
      </c>
      <c r="B91" s="174">
        <v>339</v>
      </c>
      <c r="C91" s="174" t="s">
        <v>133</v>
      </c>
      <c r="D91" s="174" t="s">
        <v>122</v>
      </c>
      <c r="E91" s="175">
        <v>2</v>
      </c>
      <c r="F91" s="175">
        <v>3</v>
      </c>
      <c r="G91" s="175">
        <v>4</v>
      </c>
      <c r="H91" s="175">
        <v>1</v>
      </c>
      <c r="I91" s="175">
        <v>2</v>
      </c>
      <c r="J91" s="165">
        <v>2</v>
      </c>
      <c r="K91" s="165">
        <f>VLOOKUP(B:B,[5]Sheet1!$I$1:$K$65536,3,0)</f>
        <v>0</v>
      </c>
      <c r="L91" s="165">
        <f>VLOOKUP(B:B,[5]Sheet1!$I$1:$M$65536,5,0)</f>
        <v>2</v>
      </c>
      <c r="M91" s="165">
        <f>VLOOKUP(B:B,[5]Sheet1!$I$1:$N$65536,6,0)</f>
        <v>0</v>
      </c>
      <c r="N91" s="165">
        <f t="shared" si="69"/>
        <v>0</v>
      </c>
      <c r="O91" s="165">
        <f t="shared" si="70"/>
        <v>0</v>
      </c>
      <c r="P91" s="165">
        <f>K91*90+L91*15+M91*40</f>
        <v>30</v>
      </c>
      <c r="Q91" s="165"/>
      <c r="R91" s="191">
        <v>2842</v>
      </c>
      <c r="S91" s="192">
        <v>3126.2</v>
      </c>
      <c r="T91" s="192">
        <v>3410.4</v>
      </c>
      <c r="U91" s="192">
        <v>1</v>
      </c>
      <c r="V91" s="191">
        <v>2842</v>
      </c>
      <c r="W91" s="188">
        <f>VLOOKUP(B:B,[1]Sheet1!$F$1:$G$65536,2,0)</f>
        <v>4630.08</v>
      </c>
      <c r="X91" s="188">
        <f t="shared" si="71"/>
        <v>1788.08</v>
      </c>
      <c r="Y91" s="188">
        <f t="shared" si="72"/>
        <v>1788.08</v>
      </c>
      <c r="Z91" s="188">
        <f>W91*0.07</f>
        <v>324.10559999999998</v>
      </c>
      <c r="AA91" s="191"/>
      <c r="AB91" s="175">
        <v>64</v>
      </c>
      <c r="AC91" s="200">
        <v>70</v>
      </c>
      <c r="AD91" s="200">
        <v>77</v>
      </c>
      <c r="AE91" s="201">
        <v>1</v>
      </c>
      <c r="AF91" s="202">
        <v>64</v>
      </c>
      <c r="AG91" s="206">
        <f>VLOOKUP(B:B,[1]Sheet3!$G$1:$H$65536,2,0)</f>
        <v>19</v>
      </c>
      <c r="AH91" s="206">
        <f>VLOOKUP(B:B,[1]Sheet5!$E$1:$F$65536,2,0)</f>
        <v>8</v>
      </c>
      <c r="AI91" s="206">
        <f>VLOOKUP(B:B,[1]Sheet8!$G$1:$H$65536,2,0)</f>
        <v>11</v>
      </c>
      <c r="AJ91" s="206">
        <f t="shared" si="73"/>
        <v>38</v>
      </c>
      <c r="AK91" s="196">
        <f t="shared" si="74"/>
        <v>-26</v>
      </c>
      <c r="AL91" s="196">
        <f t="shared" si="75"/>
        <v>-26</v>
      </c>
      <c r="AM91" s="202"/>
      <c r="AN91" s="196">
        <f>AK91*1</f>
        <v>-26</v>
      </c>
      <c r="AO91" s="174">
        <v>367.2</v>
      </c>
      <c r="AP91" s="174">
        <v>403.92</v>
      </c>
      <c r="AQ91" s="174">
        <v>440.64</v>
      </c>
      <c r="AR91" s="174">
        <v>1</v>
      </c>
      <c r="AS91" s="174">
        <v>367.2</v>
      </c>
      <c r="AT91" s="188">
        <f>VLOOKUP(B:B,[1]Sheet10!$F$1:$G$65536,2,0)</f>
        <v>188.7</v>
      </c>
      <c r="AU91" s="188">
        <f>VLOOKUP(B:B,[1]Sheet12!$G$1:$H$65536,2,0)</f>
        <v>115.8</v>
      </c>
      <c r="AV91" s="188">
        <f t="shared" si="76"/>
        <v>304.5</v>
      </c>
      <c r="AW91" s="188">
        <f t="shared" si="77"/>
        <v>-62.7</v>
      </c>
      <c r="AX91" s="188">
        <f t="shared" si="78"/>
        <v>-62.7</v>
      </c>
      <c r="AY91" s="174"/>
      <c r="AZ91" s="188">
        <f>AW91*0.04</f>
        <v>-2.508</v>
      </c>
      <c r="BA91" s="191">
        <f>VLOOKUP(B:B,[9]查询时间段分门店销售明细!$B$1:$X$65536,23,0)</f>
        <v>5207.32</v>
      </c>
      <c r="BB91" s="188">
        <f>VLOOKUP(B:B,[1]Sheet14!$G$1:$I$65536,3,0)</f>
        <v>4199.1900000000096</v>
      </c>
      <c r="BC91" s="188">
        <v>189.41</v>
      </c>
      <c r="BD91" s="188">
        <f t="shared" si="79"/>
        <v>4388.6000000000104</v>
      </c>
      <c r="BE91" s="188">
        <f t="shared" si="80"/>
        <v>-818.719999999989</v>
      </c>
      <c r="BF91" s="188">
        <f t="shared" si="81"/>
        <v>425.601300000001</v>
      </c>
      <c r="BG91" s="210">
        <f>BE91*0.03</f>
        <v>-24.5615999999997</v>
      </c>
      <c r="BH91" s="174">
        <v>1260.72</v>
      </c>
      <c r="BI91" s="174">
        <v>1386.7919999999999</v>
      </c>
      <c r="BJ91" s="174">
        <v>1512.864</v>
      </c>
      <c r="BK91" s="174">
        <v>1</v>
      </c>
      <c r="BL91" s="174">
        <v>1260.72</v>
      </c>
      <c r="BM91" s="188">
        <f>VLOOKUP(B:B,[1]Sheet17!$E$1:$F$65536,2,0)</f>
        <v>1069.74</v>
      </c>
      <c r="BN91" s="188">
        <f t="shared" si="82"/>
        <v>-190.98</v>
      </c>
      <c r="BO91" s="188">
        <f t="shared" si="83"/>
        <v>-190.98</v>
      </c>
      <c r="BP91" s="188">
        <f t="shared" si="95"/>
        <v>160.46100000000001</v>
      </c>
      <c r="BQ91" s="188">
        <f t="shared" si="96"/>
        <v>-9.5489999999999995</v>
      </c>
      <c r="BR91" s="174">
        <v>8464.5</v>
      </c>
      <c r="BS91" s="174">
        <v>9310.9500000000007</v>
      </c>
      <c r="BT91" s="174">
        <v>10157.4</v>
      </c>
      <c r="BU91" s="174">
        <v>1</v>
      </c>
      <c r="BV91" s="174">
        <v>8464.5</v>
      </c>
      <c r="BW91" s="188">
        <f>VLOOKUP(B:B,[2]Sheet1!$G$1:$H$65536,2,0)</f>
        <v>4741.83</v>
      </c>
      <c r="BX91" s="188">
        <f t="shared" si="84"/>
        <v>-3722.67</v>
      </c>
      <c r="BY91" s="188">
        <f t="shared" si="85"/>
        <v>-3722.67</v>
      </c>
      <c r="BZ91" s="166">
        <f>BW91*0.08</f>
        <v>379.34640000000002</v>
      </c>
      <c r="CA91" s="174">
        <f>BX91*0.05</f>
        <v>-186.1335</v>
      </c>
      <c r="CB91" s="188">
        <f t="shared" si="86"/>
        <v>1319.5143</v>
      </c>
      <c r="CC91" s="218">
        <f>VLOOKUP(B:B,[3]门店完成率!$A:$Y,25,0)</f>
        <v>0.95723755760368701</v>
      </c>
      <c r="CD91" s="188">
        <f>CB91*0.5+CB91*0.5*CC91</f>
        <v>1291.3014728775699</v>
      </c>
      <c r="CE91" s="188">
        <f t="shared" si="94"/>
        <v>1291.3</v>
      </c>
      <c r="CF91" s="188">
        <f t="shared" si="87"/>
        <v>-248.75210000000001</v>
      </c>
      <c r="CG91" s="188">
        <f t="shared" si="93"/>
        <v>-248.75</v>
      </c>
      <c r="FL91" s="159"/>
      <c r="FM91" s="159"/>
      <c r="FN91" s="159"/>
      <c r="FO91" s="159"/>
      <c r="FP91" s="159"/>
      <c r="FQ91" s="159"/>
      <c r="FR91" s="159"/>
      <c r="FS91" s="159"/>
      <c r="FT91" s="159"/>
      <c r="FU91" s="159"/>
      <c r="FV91" s="159"/>
      <c r="FW91" s="159"/>
      <c r="FX91" s="159"/>
      <c r="FY91" s="159"/>
      <c r="FZ91" s="159"/>
      <c r="GA91" s="159"/>
      <c r="GB91" s="159"/>
      <c r="GC91" s="159"/>
      <c r="GD91" s="159"/>
      <c r="GE91" s="159"/>
      <c r="GF91" s="159"/>
      <c r="GG91" s="159"/>
      <c r="GH91" s="159"/>
      <c r="GI91" s="159"/>
      <c r="GJ91" s="159"/>
      <c r="GK91" s="159"/>
      <c r="GL91" s="159"/>
      <c r="GM91" s="159"/>
      <c r="GN91" s="159"/>
      <c r="GO91" s="159"/>
      <c r="GP91" s="159"/>
      <c r="GQ91" s="159"/>
      <c r="GR91" s="159"/>
      <c r="GS91" s="159"/>
      <c r="GT91" s="159"/>
      <c r="GU91" s="159"/>
      <c r="GV91" s="159"/>
      <c r="GW91" s="159"/>
      <c r="GX91" s="159"/>
      <c r="GY91" s="159"/>
      <c r="GZ91" s="159"/>
      <c r="HA91" s="159"/>
      <c r="HB91" s="159"/>
      <c r="HC91" s="159"/>
      <c r="HD91" s="159"/>
      <c r="HE91" s="159"/>
      <c r="HF91" s="159"/>
      <c r="HG91" s="159"/>
      <c r="HH91" s="159"/>
      <c r="HI91" s="159"/>
      <c r="HJ91" s="159"/>
      <c r="HK91" s="159"/>
      <c r="HL91" s="159"/>
      <c r="HM91" s="159"/>
      <c r="HN91" s="159"/>
      <c r="HO91" s="159"/>
      <c r="HP91" s="159"/>
      <c r="HQ91" s="159"/>
      <c r="HR91" s="159"/>
      <c r="HS91" s="159"/>
      <c r="HT91" s="159"/>
      <c r="HU91" s="159"/>
      <c r="HV91" s="159"/>
      <c r="HW91" s="159"/>
      <c r="HX91" s="159"/>
      <c r="HY91" s="159"/>
      <c r="HZ91" s="159"/>
      <c r="IA91" s="159"/>
      <c r="IB91" s="159"/>
      <c r="IC91" s="159"/>
      <c r="ID91" s="159"/>
      <c r="IE91" s="159"/>
      <c r="IF91" s="159"/>
      <c r="IG91" s="159"/>
    </row>
    <row r="92" spans="1:241" s="155" customFormat="1" ht="12.95" customHeight="1">
      <c r="A92" s="174">
        <v>85</v>
      </c>
      <c r="B92" s="174">
        <v>581</v>
      </c>
      <c r="C92" s="174" t="s">
        <v>134</v>
      </c>
      <c r="D92" s="174" t="s">
        <v>122</v>
      </c>
      <c r="E92" s="175">
        <v>4</v>
      </c>
      <c r="F92" s="175">
        <v>5</v>
      </c>
      <c r="G92" s="175">
        <v>6</v>
      </c>
      <c r="H92" s="175">
        <v>1</v>
      </c>
      <c r="I92" s="175">
        <v>4</v>
      </c>
      <c r="J92" s="165">
        <v>2</v>
      </c>
      <c r="K92" s="165">
        <f>VLOOKUP(B:B,[5]Sheet1!$I$1:$K$65536,3,0)</f>
        <v>0</v>
      </c>
      <c r="L92" s="165">
        <f>VLOOKUP(B:B,[5]Sheet1!$I$1:$M$65536,5,0)</f>
        <v>2</v>
      </c>
      <c r="M92" s="165">
        <f>VLOOKUP(B:B,[5]Sheet1!$I$1:$N$65536,6,0)</f>
        <v>0</v>
      </c>
      <c r="N92" s="165">
        <f t="shared" si="69"/>
        <v>-2</v>
      </c>
      <c r="O92" s="165">
        <f t="shared" si="70"/>
        <v>-2</v>
      </c>
      <c r="P92" s="165">
        <f>K92*70+L92*15+M92*40</f>
        <v>30</v>
      </c>
      <c r="Q92" s="165">
        <f>N92*15</f>
        <v>-30</v>
      </c>
      <c r="R92" s="191">
        <v>3238</v>
      </c>
      <c r="S92" s="192">
        <v>3561.8</v>
      </c>
      <c r="T92" s="192">
        <v>3885.6</v>
      </c>
      <c r="U92" s="192">
        <v>2</v>
      </c>
      <c r="V92" s="191">
        <v>3561.8</v>
      </c>
      <c r="W92" s="188">
        <f>VLOOKUP(B:B,[1]Sheet1!$F$1:$G$65536,2,0)</f>
        <v>2872.97</v>
      </c>
      <c r="X92" s="188">
        <f t="shared" si="71"/>
        <v>-365.03</v>
      </c>
      <c r="Y92" s="188">
        <f t="shared" si="72"/>
        <v>-688.83</v>
      </c>
      <c r="Z92" s="191"/>
      <c r="AA92" s="197">
        <f>X92*0.05</f>
        <v>-18.2515</v>
      </c>
      <c r="AB92" s="175">
        <v>158</v>
      </c>
      <c r="AC92" s="200">
        <v>174</v>
      </c>
      <c r="AD92" s="200">
        <v>190</v>
      </c>
      <c r="AE92" s="201">
        <v>3</v>
      </c>
      <c r="AF92" s="202">
        <v>190</v>
      </c>
      <c r="AG92" s="206">
        <f>VLOOKUP(B:B,[1]Sheet3!$G$1:$H$65536,2,0)</f>
        <v>88</v>
      </c>
      <c r="AH92" s="206">
        <f>VLOOKUP(B:B,[1]Sheet5!$E$1:$F$65536,2,0)</f>
        <v>34</v>
      </c>
      <c r="AI92" s="206">
        <f>VLOOKUP(B:B,[1]Sheet8!$G$1:$H$65536,2,0)</f>
        <v>114</v>
      </c>
      <c r="AJ92" s="206">
        <f t="shared" si="73"/>
        <v>236</v>
      </c>
      <c r="AK92" s="196">
        <f t="shared" si="74"/>
        <v>78</v>
      </c>
      <c r="AL92" s="196">
        <f t="shared" si="75"/>
        <v>46</v>
      </c>
      <c r="AM92" s="196">
        <f>AG92*2.5+AH92*1.5+AI92*4</f>
        <v>727</v>
      </c>
      <c r="AN92" s="202"/>
      <c r="AO92" s="174">
        <v>695.7</v>
      </c>
      <c r="AP92" s="174">
        <v>765.27</v>
      </c>
      <c r="AQ92" s="174">
        <v>834.84</v>
      </c>
      <c r="AR92" s="174">
        <v>3</v>
      </c>
      <c r="AS92" s="174">
        <v>834.84</v>
      </c>
      <c r="AT92" s="188">
        <f>VLOOKUP(B:B,[1]Sheet10!$F$1:$G$65536,2,0)</f>
        <v>1487.06</v>
      </c>
      <c r="AU92" s="188">
        <f>VLOOKUP(B:B,[1]Sheet12!$G$1:$H$65536,2,0)</f>
        <v>598.6</v>
      </c>
      <c r="AV92" s="188">
        <f t="shared" si="76"/>
        <v>2085.66</v>
      </c>
      <c r="AW92" s="188">
        <f t="shared" si="77"/>
        <v>1389.96</v>
      </c>
      <c r="AX92" s="188">
        <f t="shared" si="78"/>
        <v>1250.82</v>
      </c>
      <c r="AY92" s="168">
        <f>AT92*0.09+AU92*0.05</f>
        <v>163.7654</v>
      </c>
      <c r="AZ92" s="174"/>
      <c r="BA92" s="191">
        <v>905.91</v>
      </c>
      <c r="BB92" s="188">
        <f>VLOOKUP(B:B,[1]Sheet14!$G$1:$I$65536,3,0)</f>
        <v>6332.5700000000297</v>
      </c>
      <c r="BC92" s="188">
        <v>24.1</v>
      </c>
      <c r="BD92" s="188">
        <f t="shared" si="79"/>
        <v>6356.6700000000301</v>
      </c>
      <c r="BE92" s="188">
        <f t="shared" si="80"/>
        <v>5450.7600000000302</v>
      </c>
      <c r="BF92" s="188">
        <f t="shared" si="81"/>
        <v>633.98000000000297</v>
      </c>
      <c r="BG92" s="174"/>
      <c r="BH92" s="174">
        <v>2467.44</v>
      </c>
      <c r="BI92" s="174">
        <v>2714.1840000000002</v>
      </c>
      <c r="BJ92" s="174">
        <v>2960.9279999999999</v>
      </c>
      <c r="BK92" s="174">
        <v>2</v>
      </c>
      <c r="BL92" s="174">
        <v>2714.1840000000002</v>
      </c>
      <c r="BM92" s="188">
        <f>VLOOKUP(B:B,[1]Sheet17!$E$1:$F$65536,2,0)</f>
        <v>1653.52</v>
      </c>
      <c r="BN92" s="188">
        <f t="shared" si="82"/>
        <v>-813.92</v>
      </c>
      <c r="BO92" s="188">
        <f t="shared" si="83"/>
        <v>-1060.664</v>
      </c>
      <c r="BP92" s="188">
        <f t="shared" si="95"/>
        <v>248.02799999999999</v>
      </c>
      <c r="BQ92" s="188">
        <f t="shared" si="96"/>
        <v>-40.695999999999998</v>
      </c>
      <c r="BR92" s="174">
        <v>24020.1</v>
      </c>
      <c r="BS92" s="174">
        <v>26422.11</v>
      </c>
      <c r="BT92" s="174">
        <v>28824.12</v>
      </c>
      <c r="BU92" s="174">
        <v>2</v>
      </c>
      <c r="BV92" s="174">
        <v>26422.11</v>
      </c>
      <c r="BW92" s="188">
        <f>VLOOKUP(B:B,[2]Sheet1!$G$1:$H$65536,2,0)</f>
        <v>16837.21</v>
      </c>
      <c r="BX92" s="188">
        <f t="shared" si="84"/>
        <v>-7182.89</v>
      </c>
      <c r="BY92" s="188">
        <f t="shared" si="85"/>
        <v>-9584.9</v>
      </c>
      <c r="BZ92" s="166">
        <f>BW92*0.08</f>
        <v>1346.9767999999999</v>
      </c>
      <c r="CA92" s="174">
        <f>BX92*0.05</f>
        <v>-359.14449999999999</v>
      </c>
      <c r="CB92" s="188">
        <f t="shared" si="86"/>
        <v>3149.7501999999999</v>
      </c>
      <c r="CC92" s="218">
        <f>VLOOKUP(B:B,[3]门店完成率!$A:$Y,25,0)</f>
        <v>1.04767106960951</v>
      </c>
      <c r="CD92" s="166">
        <f>CB92</f>
        <v>3149.7501999999999</v>
      </c>
      <c r="CE92" s="188">
        <f t="shared" si="94"/>
        <v>3149.75</v>
      </c>
      <c r="CF92" s="188">
        <f t="shared" si="87"/>
        <v>-448.09199999999998</v>
      </c>
      <c r="CG92" s="188">
        <f t="shared" si="93"/>
        <v>-448.09</v>
      </c>
      <c r="FL92" s="159"/>
      <c r="FM92" s="159"/>
      <c r="FN92" s="159"/>
      <c r="FO92" s="159"/>
      <c r="FP92" s="159"/>
      <c r="FQ92" s="159"/>
      <c r="FR92" s="159"/>
      <c r="FS92" s="159"/>
      <c r="FT92" s="159"/>
      <c r="FU92" s="159"/>
      <c r="FV92" s="159"/>
      <c r="FW92" s="159"/>
      <c r="FX92" s="159"/>
      <c r="FY92" s="159"/>
      <c r="FZ92" s="159"/>
      <c r="GA92" s="159"/>
      <c r="GB92" s="159"/>
      <c r="GC92" s="159"/>
      <c r="GD92" s="159"/>
      <c r="GE92" s="159"/>
      <c r="GF92" s="159"/>
      <c r="GG92" s="159"/>
      <c r="GH92" s="159"/>
      <c r="GI92" s="159"/>
      <c r="GJ92" s="159"/>
      <c r="GK92" s="159"/>
      <c r="GL92" s="159"/>
      <c r="GM92" s="159"/>
      <c r="GN92" s="159"/>
      <c r="GO92" s="159"/>
      <c r="GP92" s="159"/>
      <c r="GQ92" s="159"/>
      <c r="GR92" s="159"/>
      <c r="GS92" s="159"/>
      <c r="GT92" s="159"/>
      <c r="GU92" s="159"/>
      <c r="GV92" s="159"/>
      <c r="GW92" s="159"/>
      <c r="GX92" s="159"/>
      <c r="GY92" s="159"/>
      <c r="GZ92" s="159"/>
      <c r="HA92" s="159"/>
      <c r="HB92" s="159"/>
      <c r="HC92" s="159"/>
      <c r="HD92" s="159"/>
      <c r="HE92" s="159"/>
    </row>
    <row r="93" spans="1:241" s="155" customFormat="1" ht="12.95" customHeight="1">
      <c r="A93" s="174">
        <v>86</v>
      </c>
      <c r="B93" s="174">
        <v>585</v>
      </c>
      <c r="C93" s="174" t="s">
        <v>135</v>
      </c>
      <c r="D93" s="174" t="s">
        <v>122</v>
      </c>
      <c r="E93" s="175">
        <v>3</v>
      </c>
      <c r="F93" s="175">
        <v>4</v>
      </c>
      <c r="G93" s="175">
        <v>5</v>
      </c>
      <c r="H93" s="175">
        <v>1</v>
      </c>
      <c r="I93" s="175">
        <v>3</v>
      </c>
      <c r="J93" s="165">
        <v>1</v>
      </c>
      <c r="K93" s="165">
        <f>VLOOKUP(B:B,[5]Sheet1!$I$1:$K$65536,3,0)</f>
        <v>1</v>
      </c>
      <c r="L93" s="165">
        <f>VLOOKUP(B:B,[5]Sheet1!$I$1:$M$65536,5,0)</f>
        <v>0</v>
      </c>
      <c r="M93" s="165">
        <f>VLOOKUP(B:B,[5]Sheet1!$I$1:$N$65536,6,0)</f>
        <v>0</v>
      </c>
      <c r="N93" s="165">
        <f t="shared" si="69"/>
        <v>-2</v>
      </c>
      <c r="O93" s="165">
        <f t="shared" si="70"/>
        <v>-2</v>
      </c>
      <c r="P93" s="165">
        <f>K93*70+L93*15+M93*40</f>
        <v>70</v>
      </c>
      <c r="Q93" s="165">
        <f>N93*15</f>
        <v>-30</v>
      </c>
      <c r="R93" s="191">
        <v>2618</v>
      </c>
      <c r="S93" s="192">
        <v>2879.8</v>
      </c>
      <c r="T93" s="192">
        <v>3141.6</v>
      </c>
      <c r="U93" s="192">
        <v>1</v>
      </c>
      <c r="V93" s="191">
        <v>2618</v>
      </c>
      <c r="W93" s="188">
        <f>VLOOKUP(B:B,[1]Sheet1!$F$1:$G$65536,2,0)</f>
        <v>3686.49</v>
      </c>
      <c r="X93" s="188">
        <f t="shared" si="71"/>
        <v>1068.49</v>
      </c>
      <c r="Y93" s="188">
        <f t="shared" si="72"/>
        <v>1068.49</v>
      </c>
      <c r="Z93" s="188">
        <f>W93*0.07</f>
        <v>258.05430000000001</v>
      </c>
      <c r="AA93" s="191"/>
      <c r="AB93" s="175">
        <v>149</v>
      </c>
      <c r="AC93" s="200">
        <v>164</v>
      </c>
      <c r="AD93" s="200">
        <v>179</v>
      </c>
      <c r="AE93" s="201">
        <v>3</v>
      </c>
      <c r="AF93" s="202">
        <v>179</v>
      </c>
      <c r="AG93" s="206">
        <f>VLOOKUP(B:B,[1]Sheet3!$G$1:$H$65536,2,0)</f>
        <v>75</v>
      </c>
      <c r="AH93" s="206">
        <f>VLOOKUP(B:B,[1]Sheet5!$E$1:$F$65536,2,0)</f>
        <v>39</v>
      </c>
      <c r="AI93" s="206">
        <f>VLOOKUP(B:B,[1]Sheet8!$G$1:$H$65536,2,0)</f>
        <v>110</v>
      </c>
      <c r="AJ93" s="206">
        <f t="shared" si="73"/>
        <v>224</v>
      </c>
      <c r="AK93" s="196">
        <f t="shared" si="74"/>
        <v>75</v>
      </c>
      <c r="AL93" s="196">
        <f t="shared" si="75"/>
        <v>45</v>
      </c>
      <c r="AM93" s="196">
        <f>AG93*2.5+AH93*1.5+AI93*4</f>
        <v>686</v>
      </c>
      <c r="AN93" s="202"/>
      <c r="AO93" s="174">
        <v>890.1</v>
      </c>
      <c r="AP93" s="174">
        <v>979.11</v>
      </c>
      <c r="AQ93" s="174">
        <v>1068.1199999999999</v>
      </c>
      <c r="AR93" s="174">
        <v>1</v>
      </c>
      <c r="AS93" s="174">
        <v>890.1</v>
      </c>
      <c r="AT93" s="188">
        <f>VLOOKUP(B:B,[1]Sheet10!$F$1:$G$65536,2,0)</f>
        <v>684.95</v>
      </c>
      <c r="AU93" s="188">
        <f>VLOOKUP(B:B,[1]Sheet12!$G$1:$H$65536,2,0)</f>
        <v>394</v>
      </c>
      <c r="AV93" s="188">
        <f t="shared" si="76"/>
        <v>1078.95</v>
      </c>
      <c r="AW93" s="188">
        <f t="shared" si="77"/>
        <v>188.85</v>
      </c>
      <c r="AX93" s="188">
        <f t="shared" si="78"/>
        <v>188.85</v>
      </c>
      <c r="AY93" s="166">
        <f>AT93*0.05+AU93*0.03</f>
        <v>46.067500000000003</v>
      </c>
      <c r="AZ93" s="174"/>
      <c r="BA93" s="191">
        <v>11262.45</v>
      </c>
      <c r="BB93" s="188">
        <f>VLOOKUP(B:B,[1]Sheet14!$G$1:$I$65536,3,0)</f>
        <v>6205.3800000000201</v>
      </c>
      <c r="BC93" s="188">
        <v>54.75</v>
      </c>
      <c r="BD93" s="188">
        <f t="shared" si="79"/>
        <v>6260.1300000000201</v>
      </c>
      <c r="BE93" s="188">
        <f t="shared" si="80"/>
        <v>-5002.3199999999797</v>
      </c>
      <c r="BF93" s="188">
        <f t="shared" si="81"/>
        <v>622.18050000000198</v>
      </c>
      <c r="BG93" s="210">
        <f>BE93*0.03</f>
        <v>-150.06959999999901</v>
      </c>
      <c r="BH93" s="174">
        <v>2743.92</v>
      </c>
      <c r="BI93" s="174">
        <v>3018.3119999999999</v>
      </c>
      <c r="BJ93" s="174">
        <v>3292.7040000000002</v>
      </c>
      <c r="BK93" s="174">
        <v>1</v>
      </c>
      <c r="BL93" s="174">
        <v>2743.92</v>
      </c>
      <c r="BM93" s="188">
        <f>VLOOKUP(B:B,[1]Sheet17!$E$1:$F$65536,2,0)</f>
        <v>3353.42</v>
      </c>
      <c r="BN93" s="188">
        <f t="shared" si="82"/>
        <v>609.5</v>
      </c>
      <c r="BO93" s="188">
        <f t="shared" si="83"/>
        <v>609.5</v>
      </c>
      <c r="BP93" s="188">
        <f t="shared" si="95"/>
        <v>503.01299999999998</v>
      </c>
      <c r="BQ93" s="174"/>
      <c r="BR93" s="174">
        <v>20907</v>
      </c>
      <c r="BS93" s="174">
        <v>22997.7</v>
      </c>
      <c r="BT93" s="174">
        <v>25088.400000000001</v>
      </c>
      <c r="BU93" s="174">
        <v>2</v>
      </c>
      <c r="BV93" s="174">
        <v>22997.7</v>
      </c>
      <c r="BW93" s="188">
        <f>VLOOKUP(B:B,[2]Sheet1!$G$1:$H$65536,2,0)</f>
        <v>25204.58</v>
      </c>
      <c r="BX93" s="188">
        <f t="shared" si="84"/>
        <v>4297.58</v>
      </c>
      <c r="BY93" s="188">
        <f t="shared" si="85"/>
        <v>2206.88</v>
      </c>
      <c r="BZ93" s="188">
        <f>BW93*0.1</f>
        <v>2520.4580000000001</v>
      </c>
      <c r="CA93" s="174"/>
      <c r="CB93" s="188">
        <f t="shared" si="86"/>
        <v>4705.7732999999998</v>
      </c>
      <c r="CC93" s="218">
        <f>VLOOKUP(B:B,[3]门店完成率!$A:$Y,25,0)</f>
        <v>1.0013528225806501</v>
      </c>
      <c r="CD93" s="166">
        <f>CB93</f>
        <v>4705.7732999999998</v>
      </c>
      <c r="CE93" s="188">
        <f t="shared" si="94"/>
        <v>4705.7700000000004</v>
      </c>
      <c r="CF93" s="188">
        <f t="shared" si="87"/>
        <v>-180.06959999999901</v>
      </c>
      <c r="CG93" s="188">
        <f t="shared" si="93"/>
        <v>-180.07</v>
      </c>
      <c r="FL93" s="159"/>
      <c r="FM93" s="159"/>
      <c r="FN93" s="159"/>
      <c r="FO93" s="159"/>
      <c r="FP93" s="159"/>
      <c r="FQ93" s="159"/>
      <c r="FR93" s="159"/>
      <c r="FS93" s="159"/>
      <c r="FT93" s="159"/>
      <c r="FU93" s="159"/>
      <c r="FV93" s="159"/>
      <c r="FW93" s="159"/>
      <c r="FX93" s="159"/>
      <c r="FY93" s="159"/>
      <c r="FZ93" s="159"/>
      <c r="GA93" s="159"/>
      <c r="GB93" s="159"/>
      <c r="GC93" s="159"/>
      <c r="GD93" s="159"/>
      <c r="GE93" s="159"/>
      <c r="GF93" s="159"/>
      <c r="GG93" s="159"/>
      <c r="GH93" s="159"/>
      <c r="GI93" s="159"/>
      <c r="GJ93" s="159"/>
      <c r="GK93" s="159"/>
      <c r="GL93" s="159"/>
      <c r="GM93" s="159"/>
      <c r="GN93" s="159"/>
      <c r="GO93" s="159"/>
      <c r="GP93" s="159"/>
      <c r="GQ93" s="159"/>
      <c r="GR93" s="159"/>
      <c r="GS93" s="159"/>
      <c r="GT93" s="159"/>
      <c r="GU93" s="159"/>
      <c r="GV93" s="159"/>
      <c r="GW93" s="159"/>
      <c r="GX93" s="159"/>
      <c r="GY93" s="159"/>
      <c r="GZ93" s="159"/>
      <c r="HA93" s="159"/>
      <c r="HB93" s="159"/>
      <c r="HC93" s="159"/>
      <c r="HD93" s="159"/>
      <c r="HE93" s="159"/>
      <c r="HF93" s="159"/>
      <c r="HG93" s="159"/>
      <c r="HH93" s="159"/>
      <c r="HI93" s="159"/>
      <c r="HJ93" s="159"/>
      <c r="HK93" s="159"/>
      <c r="HL93" s="159"/>
      <c r="HM93" s="159"/>
      <c r="HN93" s="159"/>
      <c r="HO93" s="159"/>
      <c r="HP93" s="159"/>
      <c r="HQ93" s="159"/>
      <c r="HR93" s="159"/>
      <c r="HS93" s="159"/>
      <c r="HT93" s="159"/>
      <c r="HU93" s="159"/>
      <c r="HV93" s="159"/>
      <c r="HW93" s="159"/>
      <c r="HX93" s="159"/>
      <c r="HY93" s="159"/>
      <c r="HZ93" s="159"/>
      <c r="IA93" s="159"/>
      <c r="IB93" s="159"/>
      <c r="IC93" s="159"/>
      <c r="ID93" s="159"/>
      <c r="IE93" s="159"/>
      <c r="IF93" s="159"/>
      <c r="IG93" s="159"/>
    </row>
    <row r="94" spans="1:241" s="155" customFormat="1" ht="12.95" customHeight="1">
      <c r="A94" s="174">
        <v>87</v>
      </c>
      <c r="B94" s="174">
        <v>709</v>
      </c>
      <c r="C94" s="174" t="s">
        <v>136</v>
      </c>
      <c r="D94" s="174" t="s">
        <v>122</v>
      </c>
      <c r="E94" s="175">
        <v>2</v>
      </c>
      <c r="F94" s="175">
        <v>3</v>
      </c>
      <c r="G94" s="175">
        <v>4</v>
      </c>
      <c r="H94" s="175">
        <v>1</v>
      </c>
      <c r="I94" s="175">
        <v>2</v>
      </c>
      <c r="J94" s="165">
        <v>2</v>
      </c>
      <c r="K94" s="165">
        <f>VLOOKUP(B:B,[5]Sheet1!$I$1:$K$65536,3,0)</f>
        <v>2</v>
      </c>
      <c r="L94" s="165">
        <f>VLOOKUP(B:B,[5]Sheet1!$I$1:$M$65536,5,0)</f>
        <v>0</v>
      </c>
      <c r="M94" s="165">
        <f>VLOOKUP(B:B,[5]Sheet1!$I$1:$N$65536,6,0)</f>
        <v>0</v>
      </c>
      <c r="N94" s="165">
        <f t="shared" si="69"/>
        <v>0</v>
      </c>
      <c r="O94" s="165">
        <f t="shared" si="70"/>
        <v>0</v>
      </c>
      <c r="P94" s="165">
        <f>K94*90+L94*15+M94*40</f>
        <v>180</v>
      </c>
      <c r="Q94" s="165"/>
      <c r="R94" s="191">
        <v>2180</v>
      </c>
      <c r="S94" s="192">
        <v>2398</v>
      </c>
      <c r="T94" s="192">
        <v>2616</v>
      </c>
      <c r="U94" s="192">
        <v>3</v>
      </c>
      <c r="V94" s="191">
        <v>2616</v>
      </c>
      <c r="W94" s="188">
        <f>VLOOKUP(B:B,[1]Sheet1!$F$1:$G$65536,2,0)</f>
        <v>4311.8999999999996</v>
      </c>
      <c r="X94" s="188">
        <f t="shared" si="71"/>
        <v>2131.9</v>
      </c>
      <c r="Y94" s="188">
        <f t="shared" si="72"/>
        <v>1695.9</v>
      </c>
      <c r="Z94" s="188">
        <f>W94*0.11</f>
        <v>474.30900000000003</v>
      </c>
      <c r="AA94" s="191"/>
      <c r="AB94" s="175">
        <v>95</v>
      </c>
      <c r="AC94" s="200">
        <v>105</v>
      </c>
      <c r="AD94" s="200">
        <v>114</v>
      </c>
      <c r="AE94" s="201">
        <v>3</v>
      </c>
      <c r="AF94" s="202">
        <v>114</v>
      </c>
      <c r="AG94" s="206">
        <f>VLOOKUP(B:B,[1]Sheet3!$G$1:$H$65536,2,0)</f>
        <v>91</v>
      </c>
      <c r="AH94" s="206">
        <f>VLOOKUP(B:B,[1]Sheet5!$E$1:$F$65536,2,0)</f>
        <v>18</v>
      </c>
      <c r="AI94" s="206">
        <f>VLOOKUP(B:B,[1]Sheet8!$G$1:$H$65536,2,0)</f>
        <v>17</v>
      </c>
      <c r="AJ94" s="206">
        <f t="shared" si="73"/>
        <v>126</v>
      </c>
      <c r="AK94" s="196">
        <f t="shared" si="74"/>
        <v>31</v>
      </c>
      <c r="AL94" s="196">
        <f t="shared" si="75"/>
        <v>12</v>
      </c>
      <c r="AM94" s="196">
        <f>AG94*2.5+AH94*1.5+AI94*4</f>
        <v>322.5</v>
      </c>
      <c r="AN94" s="202"/>
      <c r="AO94" s="174">
        <v>426.6</v>
      </c>
      <c r="AP94" s="174">
        <v>469.26</v>
      </c>
      <c r="AQ94" s="174">
        <v>511.92</v>
      </c>
      <c r="AR94" s="174">
        <v>3</v>
      </c>
      <c r="AS94" s="174">
        <v>511.92</v>
      </c>
      <c r="AT94" s="188">
        <f>VLOOKUP(B:B,[1]Sheet10!$F$1:$G$65536,2,0)</f>
        <v>495.5</v>
      </c>
      <c r="AU94" s="188">
        <f>VLOOKUP(B:B,[1]Sheet12!$G$1:$H$65536,2,0)</f>
        <v>930.6</v>
      </c>
      <c r="AV94" s="188">
        <f t="shared" si="76"/>
        <v>1426.1</v>
      </c>
      <c r="AW94" s="188">
        <f t="shared" si="77"/>
        <v>999.5</v>
      </c>
      <c r="AX94" s="188">
        <f t="shared" si="78"/>
        <v>914.18</v>
      </c>
      <c r="AY94" s="168">
        <f>AT94*0.09+AU94*0.05</f>
        <v>91.125</v>
      </c>
      <c r="AZ94" s="174"/>
      <c r="BA94" s="191">
        <f>VLOOKUP(B:B,[12]查询时间段分门店销售明细!$B$1:$X$65536,23,0)</f>
        <v>5631.57</v>
      </c>
      <c r="BB94" s="188">
        <f>VLOOKUP(B:B,[1]Sheet14!$G$1:$I$65536,3,0)</f>
        <v>4989.04000000001</v>
      </c>
      <c r="BC94" s="188">
        <v>82.56</v>
      </c>
      <c r="BD94" s="188">
        <f t="shared" si="79"/>
        <v>5071.6000000000104</v>
      </c>
      <c r="BE94" s="188">
        <f t="shared" si="80"/>
        <v>-559.969999999989</v>
      </c>
      <c r="BF94" s="188">
        <f t="shared" si="81"/>
        <v>501.38080000000099</v>
      </c>
      <c r="BG94" s="210">
        <f>BE94*0.03</f>
        <v>-16.799099999999701</v>
      </c>
      <c r="BH94" s="174">
        <v>1656</v>
      </c>
      <c r="BI94" s="174">
        <v>1821.6</v>
      </c>
      <c r="BJ94" s="174">
        <v>1987.2</v>
      </c>
      <c r="BK94" s="174">
        <v>3</v>
      </c>
      <c r="BL94" s="174">
        <v>1987.2</v>
      </c>
      <c r="BM94" s="188">
        <f>VLOOKUP(B:B,[1]Sheet17!$E$1:$F$65536,2,0)</f>
        <v>2785.34</v>
      </c>
      <c r="BN94" s="188">
        <f t="shared" si="82"/>
        <v>1129.3399999999999</v>
      </c>
      <c r="BO94" s="188">
        <f t="shared" si="83"/>
        <v>798.14</v>
      </c>
      <c r="BP94" s="188">
        <f>BM94*0.25</f>
        <v>696.33500000000004</v>
      </c>
      <c r="BQ94" s="174"/>
      <c r="BR94" s="174">
        <v>13328.1</v>
      </c>
      <c r="BS94" s="174">
        <v>14660.91</v>
      </c>
      <c r="BT94" s="174">
        <v>15993.72</v>
      </c>
      <c r="BU94" s="174">
        <v>1</v>
      </c>
      <c r="BV94" s="174">
        <v>13328.1</v>
      </c>
      <c r="BW94" s="188">
        <f>VLOOKUP(B:B,[2]Sheet1!$G$1:$H$65536,2,0)</f>
        <v>15867.49</v>
      </c>
      <c r="BX94" s="188">
        <f t="shared" si="84"/>
        <v>2539.39</v>
      </c>
      <c r="BY94" s="188">
        <f t="shared" si="85"/>
        <v>2539.39</v>
      </c>
      <c r="BZ94" s="166">
        <f>BW94*0.08</f>
        <v>1269.3992000000001</v>
      </c>
      <c r="CA94" s="174"/>
      <c r="CB94" s="188">
        <f t="shared" si="86"/>
        <v>3535.049</v>
      </c>
      <c r="CC94" s="218">
        <f>VLOOKUP(B:B,[3]门店完成率!$A:$Y,25,0)</f>
        <v>0.89113032258064495</v>
      </c>
      <c r="CD94" s="188">
        <f>CB94*0.5+CB94*0.5*CC94</f>
        <v>3342.6191778541902</v>
      </c>
      <c r="CE94" s="188">
        <f t="shared" si="94"/>
        <v>3342.62</v>
      </c>
      <c r="CF94" s="188">
        <f t="shared" si="87"/>
        <v>-16.799099999999701</v>
      </c>
      <c r="CG94" s="188">
        <f t="shared" si="93"/>
        <v>-16.8</v>
      </c>
      <c r="FL94" s="159"/>
      <c r="FM94" s="159"/>
      <c r="FN94" s="159"/>
      <c r="FO94" s="159"/>
      <c r="FP94" s="159"/>
      <c r="FQ94" s="159"/>
      <c r="FR94" s="159"/>
      <c r="FS94" s="159"/>
      <c r="FT94" s="159"/>
      <c r="FU94" s="159"/>
      <c r="FV94" s="159"/>
      <c r="FW94" s="159"/>
      <c r="FX94" s="159"/>
      <c r="FY94" s="159"/>
      <c r="FZ94" s="159"/>
      <c r="GA94" s="159"/>
      <c r="GB94" s="159"/>
      <c r="GC94" s="159"/>
      <c r="GD94" s="159"/>
      <c r="GE94" s="159"/>
      <c r="GF94" s="159"/>
      <c r="GG94" s="159"/>
      <c r="GH94" s="159"/>
      <c r="GI94" s="159"/>
      <c r="GJ94" s="159"/>
      <c r="GK94" s="159"/>
      <c r="GL94" s="159"/>
      <c r="GM94" s="159"/>
      <c r="GN94" s="159"/>
      <c r="GO94" s="159"/>
      <c r="GP94" s="159"/>
      <c r="GQ94" s="159"/>
      <c r="GR94" s="159"/>
      <c r="GS94" s="159"/>
      <c r="GT94" s="159"/>
      <c r="GU94" s="159"/>
      <c r="GV94" s="159"/>
      <c r="GW94" s="159"/>
      <c r="GX94" s="159"/>
      <c r="GY94" s="159"/>
      <c r="GZ94" s="159"/>
      <c r="HA94" s="159"/>
      <c r="HB94" s="159"/>
      <c r="HC94" s="159"/>
      <c r="HD94" s="159"/>
      <c r="HE94" s="159"/>
    </row>
    <row r="95" spans="1:241" s="155" customFormat="1" ht="12.95" customHeight="1">
      <c r="A95" s="174">
        <v>88</v>
      </c>
      <c r="B95" s="174">
        <v>726</v>
      </c>
      <c r="C95" s="174" t="s">
        <v>137</v>
      </c>
      <c r="D95" s="174" t="s">
        <v>122</v>
      </c>
      <c r="E95" s="175">
        <v>5</v>
      </c>
      <c r="F95" s="175">
        <v>6</v>
      </c>
      <c r="G95" s="175">
        <v>7</v>
      </c>
      <c r="H95" s="175">
        <v>1</v>
      </c>
      <c r="I95" s="175">
        <v>5</v>
      </c>
      <c r="J95" s="165">
        <v>5</v>
      </c>
      <c r="K95" s="165">
        <f>VLOOKUP(B:B,[5]Sheet1!$I$1:$K$65536,3,0)</f>
        <v>1</v>
      </c>
      <c r="L95" s="165">
        <f>VLOOKUP(B:B,[5]Sheet1!$I$1:$M$65536,5,0)</f>
        <v>2</v>
      </c>
      <c r="M95" s="165">
        <f>VLOOKUP(B:B,[5]Sheet1!$I$1:$N$65536,6,0)</f>
        <v>0</v>
      </c>
      <c r="N95" s="165">
        <f t="shared" si="69"/>
        <v>0</v>
      </c>
      <c r="O95" s="165">
        <f t="shared" si="70"/>
        <v>0</v>
      </c>
      <c r="P95" s="165">
        <f>K95*90+L95*15+M95*40</f>
        <v>120</v>
      </c>
      <c r="Q95" s="165"/>
      <c r="R95" s="191">
        <v>4294</v>
      </c>
      <c r="S95" s="192">
        <v>4723.3999999999996</v>
      </c>
      <c r="T95" s="192">
        <v>5152.8</v>
      </c>
      <c r="U95" s="192">
        <v>1</v>
      </c>
      <c r="V95" s="191">
        <v>4294</v>
      </c>
      <c r="W95" s="188">
        <f>VLOOKUP(B:B,[1]Sheet1!$F$1:$G$65536,2,0)</f>
        <v>4514.26</v>
      </c>
      <c r="X95" s="188">
        <f t="shared" si="71"/>
        <v>220.26</v>
      </c>
      <c r="Y95" s="188">
        <f t="shared" si="72"/>
        <v>220.26</v>
      </c>
      <c r="Z95" s="188">
        <f>W95*0.07</f>
        <v>315.9982</v>
      </c>
      <c r="AA95" s="191"/>
      <c r="AB95" s="175">
        <v>123</v>
      </c>
      <c r="AC95" s="200">
        <v>135</v>
      </c>
      <c r="AD95" s="200">
        <v>148</v>
      </c>
      <c r="AE95" s="201">
        <v>3</v>
      </c>
      <c r="AF95" s="202">
        <v>148</v>
      </c>
      <c r="AG95" s="206">
        <f>VLOOKUP(B:B,[1]Sheet3!$G$1:$H$65536,2,0)</f>
        <v>91</v>
      </c>
      <c r="AH95" s="206">
        <f>VLOOKUP(B:B,[1]Sheet5!$E$1:$F$65536,2,0)</f>
        <v>44</v>
      </c>
      <c r="AI95" s="206">
        <f>VLOOKUP(B:B,[1]Sheet8!$G$1:$H$65536,2,0)</f>
        <v>52</v>
      </c>
      <c r="AJ95" s="206">
        <f t="shared" si="73"/>
        <v>187</v>
      </c>
      <c r="AK95" s="196">
        <f t="shared" si="74"/>
        <v>64</v>
      </c>
      <c r="AL95" s="196">
        <f t="shared" si="75"/>
        <v>39</v>
      </c>
      <c r="AM95" s="196">
        <f>AG95*2.5+AH95*1.5+AI95*4</f>
        <v>501.5</v>
      </c>
      <c r="AN95" s="202"/>
      <c r="AO95" s="174">
        <v>754.2</v>
      </c>
      <c r="AP95" s="174">
        <v>829.62</v>
      </c>
      <c r="AQ95" s="174">
        <v>905.04</v>
      </c>
      <c r="AR95" s="174">
        <v>3</v>
      </c>
      <c r="AS95" s="174">
        <v>905.04</v>
      </c>
      <c r="AT95" s="188">
        <f>VLOOKUP(B:B,[1]Sheet10!$F$1:$G$65536,2,0)</f>
        <v>650.72</v>
      </c>
      <c r="AU95" s="188">
        <f>VLOOKUP(B:B,[1]Sheet12!$G$1:$H$65536,2,0)</f>
        <v>710.14</v>
      </c>
      <c r="AV95" s="188">
        <f t="shared" si="76"/>
        <v>1360.86</v>
      </c>
      <c r="AW95" s="188">
        <f t="shared" si="77"/>
        <v>606.66</v>
      </c>
      <c r="AX95" s="188">
        <f t="shared" si="78"/>
        <v>455.82</v>
      </c>
      <c r="AY95" s="168">
        <f>AT95*0.09+AU95*0.05</f>
        <v>94.071799999999996</v>
      </c>
      <c r="AZ95" s="174"/>
      <c r="BA95" s="191">
        <f>VLOOKUP(B:B,[9]查询时间段分门店销售明细!$B$1:$X$65536,23,0)</f>
        <v>18405.169999999998</v>
      </c>
      <c r="BB95" s="188">
        <f>VLOOKUP(B:B,[1]Sheet14!$G$1:$I$65536,3,0)</f>
        <v>10569.36</v>
      </c>
      <c r="BC95" s="188">
        <v>434.88</v>
      </c>
      <c r="BD95" s="188">
        <f t="shared" si="79"/>
        <v>11004.24</v>
      </c>
      <c r="BE95" s="188">
        <f t="shared" si="80"/>
        <v>-7400.93</v>
      </c>
      <c r="BF95" s="188">
        <f t="shared" si="81"/>
        <v>1069.9824000000001</v>
      </c>
      <c r="BG95" s="210">
        <f>BE95*0.03</f>
        <v>-222.02789999999999</v>
      </c>
      <c r="BH95" s="174">
        <v>2294.64</v>
      </c>
      <c r="BI95" s="174">
        <v>2524.1039999999998</v>
      </c>
      <c r="BJ95" s="174">
        <v>2753.5680000000002</v>
      </c>
      <c r="BK95" s="174">
        <v>3</v>
      </c>
      <c r="BL95" s="174">
        <v>2753.5680000000002</v>
      </c>
      <c r="BM95" s="188">
        <f>VLOOKUP(B:B,[1]Sheet17!$E$1:$F$65536,2,0)</f>
        <v>3037.08</v>
      </c>
      <c r="BN95" s="188">
        <f t="shared" si="82"/>
        <v>742.44</v>
      </c>
      <c r="BO95" s="188">
        <f t="shared" si="83"/>
        <v>283.512</v>
      </c>
      <c r="BP95" s="188">
        <f>BM95*0.25</f>
        <v>759.27</v>
      </c>
      <c r="BQ95" s="174"/>
      <c r="BR95" s="174">
        <v>19859.400000000001</v>
      </c>
      <c r="BS95" s="174">
        <v>21845.34</v>
      </c>
      <c r="BT95" s="174">
        <v>23831.279999999999</v>
      </c>
      <c r="BU95" s="174">
        <v>1</v>
      </c>
      <c r="BV95" s="174">
        <v>19859.400000000001</v>
      </c>
      <c r="BW95" s="188">
        <f>VLOOKUP(B:B,[2]Sheet1!$G$1:$H$65536,2,0)</f>
        <v>18162.5</v>
      </c>
      <c r="BX95" s="188">
        <f t="shared" si="84"/>
        <v>-1696.9</v>
      </c>
      <c r="BY95" s="188">
        <f t="shared" si="85"/>
        <v>-1696.9</v>
      </c>
      <c r="BZ95" s="166">
        <f>BW95*0.08</f>
        <v>1453</v>
      </c>
      <c r="CA95" s="174">
        <f>BX95*0.05</f>
        <v>-84.845000000000098</v>
      </c>
      <c r="CB95" s="188">
        <f t="shared" si="86"/>
        <v>4313.8224</v>
      </c>
      <c r="CC95" s="218">
        <f>VLOOKUP(B:B,[3]门店完成率!$A:$Y,25,0)</f>
        <v>0.85435157706093201</v>
      </c>
      <c r="CD95" s="188">
        <f>CB95*0.5+CB95*0.5*CC95</f>
        <v>3999.67168530039</v>
      </c>
      <c r="CE95" s="188">
        <f t="shared" si="94"/>
        <v>3999.67</v>
      </c>
      <c r="CF95" s="188">
        <f t="shared" si="87"/>
        <v>-306.87290000000002</v>
      </c>
      <c r="CG95" s="188">
        <f t="shared" si="93"/>
        <v>-306.87</v>
      </c>
      <c r="FL95" s="159"/>
      <c r="FM95" s="159"/>
      <c r="FN95" s="159"/>
      <c r="FO95" s="159"/>
      <c r="FP95" s="159"/>
      <c r="FQ95" s="159"/>
      <c r="FR95" s="159"/>
      <c r="FS95" s="159"/>
      <c r="FT95" s="159"/>
      <c r="FU95" s="159"/>
      <c r="FV95" s="159"/>
      <c r="FW95" s="159"/>
      <c r="FX95" s="159"/>
      <c r="FY95" s="159"/>
      <c r="FZ95" s="159"/>
      <c r="GA95" s="159"/>
      <c r="GB95" s="159"/>
      <c r="GC95" s="159"/>
      <c r="GD95" s="159"/>
      <c r="GE95" s="159"/>
      <c r="GF95" s="159"/>
      <c r="GG95" s="159"/>
      <c r="GH95" s="159"/>
      <c r="GI95" s="159"/>
      <c r="GJ95" s="159"/>
      <c r="GK95" s="159"/>
      <c r="GL95" s="159"/>
      <c r="GM95" s="159"/>
      <c r="GN95" s="159"/>
      <c r="GO95" s="159"/>
      <c r="GP95" s="159"/>
      <c r="GQ95" s="159"/>
      <c r="GR95" s="159"/>
      <c r="GS95" s="159"/>
      <c r="GT95" s="159"/>
      <c r="GU95" s="159"/>
      <c r="GV95" s="159"/>
      <c r="GW95" s="159"/>
      <c r="GX95" s="159"/>
      <c r="GY95" s="159"/>
      <c r="GZ95" s="159"/>
      <c r="HA95" s="159"/>
      <c r="HB95" s="159"/>
      <c r="HC95" s="159"/>
      <c r="HD95" s="159"/>
      <c r="HE95" s="159"/>
      <c r="HF95" s="159"/>
      <c r="HG95" s="159"/>
      <c r="HH95" s="159"/>
      <c r="HI95" s="159"/>
      <c r="HJ95" s="159"/>
      <c r="HK95" s="159"/>
      <c r="HL95" s="159"/>
      <c r="HM95" s="159"/>
      <c r="HN95" s="159"/>
      <c r="HO95" s="159"/>
      <c r="HP95" s="159"/>
      <c r="HQ95" s="159"/>
      <c r="HR95" s="159"/>
      <c r="HS95" s="159"/>
      <c r="HT95" s="159"/>
      <c r="HU95" s="159"/>
      <c r="HV95" s="159"/>
      <c r="HW95" s="159"/>
      <c r="HX95" s="159"/>
      <c r="HY95" s="159"/>
      <c r="HZ95" s="159"/>
      <c r="IA95" s="159"/>
      <c r="IB95" s="159"/>
      <c r="IC95" s="159"/>
      <c r="ID95" s="159"/>
      <c r="IE95" s="159"/>
      <c r="IF95" s="159"/>
      <c r="IG95" s="159"/>
    </row>
    <row r="96" spans="1:241" s="155" customFormat="1" ht="12.95" customHeight="1">
      <c r="A96" s="174">
        <v>89</v>
      </c>
      <c r="B96" s="174">
        <v>727</v>
      </c>
      <c r="C96" s="174" t="s">
        <v>138</v>
      </c>
      <c r="D96" s="174" t="s">
        <v>122</v>
      </c>
      <c r="E96" s="175">
        <v>1</v>
      </c>
      <c r="F96" s="175">
        <v>2</v>
      </c>
      <c r="G96" s="175">
        <v>3</v>
      </c>
      <c r="H96" s="175">
        <v>1</v>
      </c>
      <c r="I96" s="175">
        <v>1</v>
      </c>
      <c r="J96" s="165">
        <v>0</v>
      </c>
      <c r="K96" s="165">
        <v>0</v>
      </c>
      <c r="L96" s="165">
        <v>0</v>
      </c>
      <c r="M96" s="165">
        <v>0</v>
      </c>
      <c r="N96" s="165">
        <f t="shared" si="69"/>
        <v>-1</v>
      </c>
      <c r="O96" s="165">
        <f t="shared" si="70"/>
        <v>-1</v>
      </c>
      <c r="P96" s="165">
        <f>K96*70+L96*15+M96*40</f>
        <v>0</v>
      </c>
      <c r="Q96" s="165">
        <f>N96*15</f>
        <v>-15</v>
      </c>
      <c r="R96" s="191">
        <v>1779</v>
      </c>
      <c r="S96" s="192">
        <v>1956.9</v>
      </c>
      <c r="T96" s="192">
        <v>2134.8000000000002</v>
      </c>
      <c r="U96" s="192">
        <v>1</v>
      </c>
      <c r="V96" s="191">
        <v>1779</v>
      </c>
      <c r="W96" s="188">
        <f>VLOOKUP(B:B,[1]Sheet1!$F$1:$G$65536,2,0)</f>
        <v>2448.0500000000002</v>
      </c>
      <c r="X96" s="188">
        <f t="shared" si="71"/>
        <v>669.05</v>
      </c>
      <c r="Y96" s="188">
        <f t="shared" si="72"/>
        <v>669.05</v>
      </c>
      <c r="Z96" s="188">
        <f>W96*0.07</f>
        <v>171.36349999999999</v>
      </c>
      <c r="AA96" s="191"/>
      <c r="AB96" s="175">
        <v>75</v>
      </c>
      <c r="AC96" s="200">
        <v>83</v>
      </c>
      <c r="AD96" s="200">
        <v>90</v>
      </c>
      <c r="AE96" s="201">
        <v>1</v>
      </c>
      <c r="AF96" s="202">
        <v>75</v>
      </c>
      <c r="AG96" s="206">
        <f>VLOOKUP(B:B,[1]Sheet3!$G$1:$H$65536,2,0)</f>
        <v>67</v>
      </c>
      <c r="AH96" s="206">
        <f>VLOOKUP(B:B,[1]Sheet5!$E$1:$F$65536,2,0)</f>
        <v>8</v>
      </c>
      <c r="AI96" s="206">
        <f>VLOOKUP(B:B,[1]Sheet8!$G$1:$H$65536,2,0)</f>
        <v>25</v>
      </c>
      <c r="AJ96" s="206">
        <f t="shared" si="73"/>
        <v>100</v>
      </c>
      <c r="AK96" s="196">
        <f t="shared" si="74"/>
        <v>25</v>
      </c>
      <c r="AL96" s="196">
        <f t="shared" si="75"/>
        <v>25</v>
      </c>
      <c r="AM96" s="196">
        <f>AG96*1+AH96*0.5+AI96*2</f>
        <v>121</v>
      </c>
      <c r="AN96" s="202"/>
      <c r="AO96" s="174">
        <v>371.7</v>
      </c>
      <c r="AP96" s="174">
        <v>408.87</v>
      </c>
      <c r="AQ96" s="174">
        <v>446.04</v>
      </c>
      <c r="AR96" s="174">
        <v>1</v>
      </c>
      <c r="AS96" s="174">
        <v>371.7</v>
      </c>
      <c r="AT96" s="188">
        <f>VLOOKUP(B:B,[1]Sheet10!$F$1:$G$65536,2,0)</f>
        <v>143</v>
      </c>
      <c r="AU96" s="188">
        <f>VLOOKUP(B:B,[1]Sheet12!$G$1:$H$65536,2,0)</f>
        <v>228.6</v>
      </c>
      <c r="AV96" s="188">
        <f t="shared" si="76"/>
        <v>371.6</v>
      </c>
      <c r="AW96" s="188">
        <f t="shared" si="77"/>
        <v>-9.9999999999965894E-2</v>
      </c>
      <c r="AX96" s="188">
        <f t="shared" si="78"/>
        <v>-9.9999999999965894E-2</v>
      </c>
      <c r="AY96" s="174"/>
      <c r="AZ96" s="188">
        <f>AW96*0.04</f>
        <v>-3.9999999999986401E-3</v>
      </c>
      <c r="BA96" s="191">
        <f>VLOOKUP(B:B,[12]查询时间段分门店销售明细!$B$1:$X$65536,23,0)</f>
        <v>2384.4</v>
      </c>
      <c r="BB96" s="188">
        <f>VLOOKUP(B:B,[1]Sheet14!$G$1:$I$65536,3,0)</f>
        <v>2821.01</v>
      </c>
      <c r="BC96" s="188">
        <v>100.53</v>
      </c>
      <c r="BD96" s="188">
        <f t="shared" si="79"/>
        <v>2921.54</v>
      </c>
      <c r="BE96" s="188">
        <f t="shared" si="80"/>
        <v>537.14</v>
      </c>
      <c r="BF96" s="188">
        <f t="shared" si="81"/>
        <v>285.11689999999999</v>
      </c>
      <c r="BG96" s="174"/>
      <c r="BH96" s="174">
        <v>1195.2</v>
      </c>
      <c r="BI96" s="174">
        <v>1314.72</v>
      </c>
      <c r="BJ96" s="174">
        <v>1434.24</v>
      </c>
      <c r="BK96" s="174">
        <v>3</v>
      </c>
      <c r="BL96" s="174">
        <v>1434.24</v>
      </c>
      <c r="BM96" s="188">
        <f>VLOOKUP(B:B,[1]Sheet17!$E$1:$F$65536,2,0)</f>
        <v>1076.74</v>
      </c>
      <c r="BN96" s="188">
        <f t="shared" si="82"/>
        <v>-118.46</v>
      </c>
      <c r="BO96" s="188">
        <f t="shared" si="83"/>
        <v>-357.5</v>
      </c>
      <c r="BP96" s="188">
        <f>BM96*0.15</f>
        <v>161.511</v>
      </c>
      <c r="BQ96" s="188">
        <f>BN96*0.05</f>
        <v>-5.923</v>
      </c>
      <c r="BR96" s="174">
        <v>9583.2000000000007</v>
      </c>
      <c r="BS96" s="174">
        <v>10541.52</v>
      </c>
      <c r="BT96" s="174">
        <v>11499.84</v>
      </c>
      <c r="BU96" s="174">
        <v>1</v>
      </c>
      <c r="BV96" s="174">
        <v>11499.84</v>
      </c>
      <c r="BW96" s="188">
        <f>VLOOKUP(B:B,[2]Sheet1!$G$1:$H$65536,2,0)</f>
        <v>8081.49</v>
      </c>
      <c r="BX96" s="188">
        <f t="shared" si="84"/>
        <v>-1501.71</v>
      </c>
      <c r="BY96" s="188">
        <f t="shared" si="85"/>
        <v>-3418.35</v>
      </c>
      <c r="BZ96" s="166">
        <f>BW96*0.08</f>
        <v>646.51919999999996</v>
      </c>
      <c r="CA96" s="174">
        <f>BX96*0.05</f>
        <v>-75.085500000000096</v>
      </c>
      <c r="CB96" s="188">
        <f t="shared" si="86"/>
        <v>1385.5106000000001</v>
      </c>
      <c r="CC96" s="218">
        <f>VLOOKUP(B:B,[3]门店完成率!$A:$Y,25,0)</f>
        <v>0.87806909227306795</v>
      </c>
      <c r="CD96" s="188">
        <f>CB96*0.5+CB96*0.5*CC96</f>
        <v>1301.04231743836</v>
      </c>
      <c r="CE96" s="188">
        <f t="shared" si="94"/>
        <v>1301.04</v>
      </c>
      <c r="CF96" s="188">
        <f t="shared" si="87"/>
        <v>-96.012500000000003</v>
      </c>
      <c r="CG96" s="188">
        <f t="shared" si="93"/>
        <v>-96.01</v>
      </c>
    </row>
    <row r="97" spans="1:213" s="158" customFormat="1" ht="12.95" customHeight="1">
      <c r="A97" s="234">
        <v>90</v>
      </c>
      <c r="B97" s="235">
        <v>730</v>
      </c>
      <c r="C97" s="235" t="s">
        <v>139</v>
      </c>
      <c r="D97" s="235" t="s">
        <v>122</v>
      </c>
      <c r="E97" s="236">
        <v>3</v>
      </c>
      <c r="F97" s="236">
        <v>4</v>
      </c>
      <c r="G97" s="236">
        <v>5</v>
      </c>
      <c r="H97" s="236">
        <v>1</v>
      </c>
      <c r="I97" s="236">
        <v>3</v>
      </c>
      <c r="J97" s="236">
        <v>4</v>
      </c>
      <c r="K97" s="236">
        <f>VLOOKUP(B:B,[5]Sheet1!$I$1:$K$65536,3,0)</f>
        <v>0</v>
      </c>
      <c r="L97" s="236">
        <f>VLOOKUP(B:B,[5]Sheet1!$I$1:$M$65536,5,0)</f>
        <v>4</v>
      </c>
      <c r="M97" s="236">
        <f>VLOOKUP(B:B,[5]Sheet1!$I$1:$N$65536,6,0)</f>
        <v>0</v>
      </c>
      <c r="N97" s="236">
        <f t="shared" si="69"/>
        <v>1</v>
      </c>
      <c r="O97" s="236">
        <f t="shared" si="70"/>
        <v>1</v>
      </c>
      <c r="P97" s="236">
        <f>K97*90+L97*15+M97*40</f>
        <v>60</v>
      </c>
      <c r="Q97" s="236"/>
      <c r="R97" s="239">
        <f>4285*0.7</f>
        <v>2999.5</v>
      </c>
      <c r="S97" s="240">
        <f>4713.5*0.7</f>
        <v>3299.45</v>
      </c>
      <c r="T97" s="240">
        <f>5142*0.7</f>
        <v>3599.4</v>
      </c>
      <c r="U97" s="240">
        <v>1</v>
      </c>
      <c r="V97" s="239">
        <f>4285*0.7</f>
        <v>2999.5</v>
      </c>
      <c r="W97" s="239">
        <f>VLOOKUP(B:B,[1]Sheet1!$F$1:$G$65536,2,0)</f>
        <v>1709.43</v>
      </c>
      <c r="X97" s="239">
        <f t="shared" si="71"/>
        <v>-1290.07</v>
      </c>
      <c r="Y97" s="239">
        <f t="shared" si="72"/>
        <v>-1290.07</v>
      </c>
      <c r="Z97" s="239"/>
      <c r="AA97" s="242">
        <f>X97*0.05</f>
        <v>-64.503500000000003</v>
      </c>
      <c r="AB97" s="236">
        <f>122*0.7</f>
        <v>85.4</v>
      </c>
      <c r="AC97" s="243">
        <v>134</v>
      </c>
      <c r="AD97" s="243">
        <v>146</v>
      </c>
      <c r="AE97" s="244">
        <v>1</v>
      </c>
      <c r="AF97" s="245">
        <v>122</v>
      </c>
      <c r="AG97" s="246">
        <f>VLOOKUP(B:B,[1]Sheet3!$G$1:$H$65536,2,0)</f>
        <v>39</v>
      </c>
      <c r="AH97" s="246">
        <f>VLOOKUP(B:B,[1]Sheet5!$E$1:$F$65536,2,0)</f>
        <v>13</v>
      </c>
      <c r="AI97" s="246">
        <f>VLOOKUP(B:B,[1]Sheet8!$G$1:$H$65536,2,0)</f>
        <v>29</v>
      </c>
      <c r="AJ97" s="246">
        <f t="shared" si="73"/>
        <v>81</v>
      </c>
      <c r="AK97" s="245">
        <f t="shared" si="74"/>
        <v>-4.3999999999999897</v>
      </c>
      <c r="AL97" s="245">
        <f t="shared" si="75"/>
        <v>-41</v>
      </c>
      <c r="AM97" s="245"/>
      <c r="AN97" s="247">
        <f>AK97*1</f>
        <v>-4.3999999999999897</v>
      </c>
      <c r="AO97" s="234">
        <f>704.7*0.7</f>
        <v>493.29</v>
      </c>
      <c r="AP97" s="234">
        <v>775.17</v>
      </c>
      <c r="AQ97" s="234">
        <v>845.64</v>
      </c>
      <c r="AR97" s="234">
        <v>1</v>
      </c>
      <c r="AS97" s="234">
        <v>704.7</v>
      </c>
      <c r="AT97" s="239">
        <f>VLOOKUP(B:B,[1]Sheet10!$F$1:$G$65536,2,0)</f>
        <v>154.80000000000001</v>
      </c>
      <c r="AU97" s="239">
        <f>VLOOKUP(B:B,[1]Sheet12!$G$1:$H$65536,2,0)</f>
        <v>112</v>
      </c>
      <c r="AV97" s="239">
        <f t="shared" si="76"/>
        <v>266.8</v>
      </c>
      <c r="AW97" s="239">
        <f t="shared" si="77"/>
        <v>-226.49</v>
      </c>
      <c r="AX97" s="239">
        <f t="shared" si="78"/>
        <v>-437.9</v>
      </c>
      <c r="AY97" s="234"/>
      <c r="AZ97" s="248">
        <f>AW97*0.04</f>
        <v>-9.0595999999999997</v>
      </c>
      <c r="BA97" s="239">
        <f>VLOOKUP(B:B,[11]查询时间段分门店销售明细!$B$1:$X$65536,23,0)*0.7</f>
        <v>4089.2109999999998</v>
      </c>
      <c r="BB97" s="239">
        <f>VLOOKUP(B:B,[1]Sheet14!$G$1:$I$65536,3,0)</f>
        <v>8132.00000000001</v>
      </c>
      <c r="BC97" s="239">
        <v>0</v>
      </c>
      <c r="BD97" s="239">
        <f t="shared" si="79"/>
        <v>8132.00000000001</v>
      </c>
      <c r="BE97" s="239">
        <f t="shared" si="80"/>
        <v>4042.7890000000102</v>
      </c>
      <c r="BF97" s="239">
        <f t="shared" si="81"/>
        <v>813.20000000000095</v>
      </c>
      <c r="BG97" s="234"/>
      <c r="BH97" s="234">
        <f>2386.8*0.7</f>
        <v>1670.76</v>
      </c>
      <c r="BI97" s="234">
        <v>2625.48</v>
      </c>
      <c r="BJ97" s="234">
        <v>2864.16</v>
      </c>
      <c r="BK97" s="234">
        <v>1</v>
      </c>
      <c r="BL97" s="234">
        <v>2386.8000000000002</v>
      </c>
      <c r="BM97" s="239">
        <f>VLOOKUP(B:B,[1]Sheet17!$E$1:$F$65536,2,0)</f>
        <v>627</v>
      </c>
      <c r="BN97" s="239">
        <f t="shared" si="82"/>
        <v>-1043.76</v>
      </c>
      <c r="BO97" s="239">
        <f t="shared" si="83"/>
        <v>-1759.8</v>
      </c>
      <c r="BP97" s="239">
        <f>BM97*0.15</f>
        <v>94.05</v>
      </c>
      <c r="BQ97" s="248">
        <f>BN97*0.05</f>
        <v>-52.188000000000002</v>
      </c>
      <c r="BR97" s="234">
        <f>19345.5*0.7</f>
        <v>13541.85</v>
      </c>
      <c r="BS97" s="234">
        <v>21280.05</v>
      </c>
      <c r="BT97" s="234">
        <v>23214.6</v>
      </c>
      <c r="BU97" s="234">
        <v>1</v>
      </c>
      <c r="BV97" s="234">
        <v>19345.5</v>
      </c>
      <c r="BW97" s="239">
        <f>VLOOKUP(B:B,[2]Sheet1!$G$1:$H$65536,2,0)</f>
        <v>14504.71</v>
      </c>
      <c r="BX97" s="239">
        <f t="shared" si="84"/>
        <v>962.86000000000104</v>
      </c>
      <c r="BY97" s="239">
        <f t="shared" si="85"/>
        <v>-4840.79</v>
      </c>
      <c r="BZ97" s="234">
        <f>BW97*0.08</f>
        <v>1160.3768</v>
      </c>
      <c r="CA97" s="251"/>
      <c r="CB97" s="239">
        <f t="shared" si="86"/>
        <v>2127.6268</v>
      </c>
      <c r="CC97" s="255">
        <f>VLOOKUP(B:B,[3]门店完成率!$A:$Y,25,0)</f>
        <v>1.11417273809524</v>
      </c>
      <c r="CD97" s="234">
        <f>CB97</f>
        <v>2127.6268</v>
      </c>
      <c r="CE97" s="239">
        <f t="shared" si="94"/>
        <v>2127.63</v>
      </c>
      <c r="CF97" s="239">
        <f t="shared" si="87"/>
        <v>-130.15110000000001</v>
      </c>
      <c r="CG97" s="248">
        <f t="shared" si="93"/>
        <v>-130.15</v>
      </c>
      <c r="FL97" s="258"/>
      <c r="FM97" s="258"/>
      <c r="FN97" s="258"/>
      <c r="FO97" s="258"/>
      <c r="FP97" s="258"/>
      <c r="FQ97" s="258"/>
      <c r="FR97" s="258"/>
      <c r="FS97" s="258"/>
      <c r="FT97" s="258"/>
      <c r="FU97" s="258"/>
      <c r="FV97" s="258"/>
      <c r="FW97" s="258"/>
      <c r="FX97" s="258"/>
      <c r="FY97" s="258"/>
      <c r="FZ97" s="258"/>
      <c r="GA97" s="258"/>
      <c r="GB97" s="258"/>
      <c r="GC97" s="258"/>
      <c r="GD97" s="258"/>
      <c r="GE97" s="258"/>
      <c r="GF97" s="258"/>
      <c r="GG97" s="258"/>
      <c r="GH97" s="258"/>
      <c r="GI97" s="258"/>
      <c r="GJ97" s="258"/>
      <c r="GK97" s="258"/>
      <c r="GL97" s="258"/>
      <c r="GM97" s="258"/>
      <c r="GN97" s="258"/>
      <c r="GO97" s="258"/>
      <c r="GP97" s="258"/>
      <c r="GQ97" s="258"/>
      <c r="GR97" s="258"/>
      <c r="GS97" s="258"/>
      <c r="GT97" s="258"/>
      <c r="GU97" s="258"/>
      <c r="GV97" s="258"/>
      <c r="GW97" s="258"/>
      <c r="GX97" s="258"/>
      <c r="GY97" s="258"/>
      <c r="GZ97" s="258"/>
      <c r="HA97" s="258"/>
      <c r="HB97" s="258"/>
      <c r="HC97" s="258"/>
      <c r="HD97" s="258"/>
      <c r="HE97" s="258"/>
    </row>
    <row r="98" spans="1:213" s="155" customFormat="1" ht="12.95" customHeight="1">
      <c r="A98" s="174">
        <v>91</v>
      </c>
      <c r="B98" s="174">
        <v>741</v>
      </c>
      <c r="C98" s="174" t="s">
        <v>140</v>
      </c>
      <c r="D98" s="237" t="s">
        <v>122</v>
      </c>
      <c r="E98" s="238">
        <v>1</v>
      </c>
      <c r="F98" s="238">
        <v>2</v>
      </c>
      <c r="G98" s="238">
        <v>3</v>
      </c>
      <c r="H98" s="238">
        <v>3</v>
      </c>
      <c r="I98" s="238">
        <v>3</v>
      </c>
      <c r="J98" s="165">
        <v>0</v>
      </c>
      <c r="K98" s="165">
        <v>0</v>
      </c>
      <c r="L98" s="165">
        <v>0</v>
      </c>
      <c r="M98" s="165">
        <v>0</v>
      </c>
      <c r="N98" s="165">
        <f t="shared" si="69"/>
        <v>-1</v>
      </c>
      <c r="O98" s="165">
        <f t="shared" si="70"/>
        <v>-3</v>
      </c>
      <c r="P98" s="165">
        <f t="shared" ref="P98:P103" si="97">K98*70+L98*15+M98*40</f>
        <v>0</v>
      </c>
      <c r="Q98" s="165">
        <f t="shared" ref="Q98:Q103" si="98">N98*15</f>
        <v>-15</v>
      </c>
      <c r="R98" s="238">
        <v>833</v>
      </c>
      <c r="S98" s="238">
        <v>916.3</v>
      </c>
      <c r="T98" s="238">
        <v>999.6</v>
      </c>
      <c r="U98" s="238">
        <v>1</v>
      </c>
      <c r="V98" s="238">
        <v>833</v>
      </c>
      <c r="W98" s="188">
        <f>VLOOKUP(B:B,[1]Sheet1!$F$1:$G$65536,2,0)</f>
        <v>587.62</v>
      </c>
      <c r="X98" s="188">
        <f t="shared" si="71"/>
        <v>-245.38</v>
      </c>
      <c r="Y98" s="188">
        <f t="shared" si="72"/>
        <v>-245.38</v>
      </c>
      <c r="Z98" s="238"/>
      <c r="AA98" s="197">
        <f>X98*0.05</f>
        <v>-12.269</v>
      </c>
      <c r="AB98" s="238">
        <v>49</v>
      </c>
      <c r="AC98" s="238">
        <v>54</v>
      </c>
      <c r="AD98" s="238">
        <v>59</v>
      </c>
      <c r="AE98" s="238">
        <v>3</v>
      </c>
      <c r="AF98" s="238">
        <v>59</v>
      </c>
      <c r="AG98" s="206">
        <f>VLOOKUP(B:B,[1]Sheet3!$G$1:$H$65536,2,0)</f>
        <v>30</v>
      </c>
      <c r="AH98" s="206">
        <f>VLOOKUP(B:B,[1]Sheet5!$E$1:$F$65536,2,0)</f>
        <v>8</v>
      </c>
      <c r="AI98" s="206">
        <f>VLOOKUP(B:B,[1]Sheet8!$G$1:$H$65536,2,0)</f>
        <v>18</v>
      </c>
      <c r="AJ98" s="206">
        <f t="shared" si="73"/>
        <v>56</v>
      </c>
      <c r="AK98" s="196">
        <f t="shared" si="74"/>
        <v>7</v>
      </c>
      <c r="AL98" s="196">
        <f t="shared" si="75"/>
        <v>-3</v>
      </c>
      <c r="AM98" s="238"/>
      <c r="AN98" s="238"/>
      <c r="AO98" s="174">
        <v>253.8</v>
      </c>
      <c r="AP98" s="174">
        <v>279.18</v>
      </c>
      <c r="AQ98" s="174">
        <v>304.56</v>
      </c>
      <c r="AR98" s="174">
        <v>3</v>
      </c>
      <c r="AS98" s="174">
        <v>304.56</v>
      </c>
      <c r="AT98" s="188">
        <f>VLOOKUP(B:B,[1]Sheet10!$F$1:$G$65536,2,0)</f>
        <v>414.1</v>
      </c>
      <c r="AU98" s="188">
        <f>VLOOKUP(B:B,[1]Sheet12!$G$1:$H$65536,2,0)</f>
        <v>185</v>
      </c>
      <c r="AV98" s="188">
        <f t="shared" si="76"/>
        <v>599.1</v>
      </c>
      <c r="AW98" s="188">
        <f t="shared" si="77"/>
        <v>345.3</v>
      </c>
      <c r="AX98" s="188">
        <f t="shared" si="78"/>
        <v>294.54000000000002</v>
      </c>
      <c r="AY98" s="168">
        <f>AT98*0.09+AU98*0.05</f>
        <v>46.518999999999998</v>
      </c>
      <c r="AZ98" s="174"/>
      <c r="BA98" s="191">
        <f>VLOOKUP(B:B,[11]查询时间段分门店销售明细!$B$1:$X$65536,23,0)</f>
        <v>1988.55</v>
      </c>
      <c r="BB98" s="188">
        <f>VLOOKUP(B:B,[1]Sheet14!$G$1:$I$65536,3,0)</f>
        <v>1150.3599999999999</v>
      </c>
      <c r="BC98" s="188">
        <v>41.8</v>
      </c>
      <c r="BD98" s="188">
        <f t="shared" si="79"/>
        <v>1192.1600000000001</v>
      </c>
      <c r="BE98" s="188">
        <f t="shared" si="80"/>
        <v>-796.39</v>
      </c>
      <c r="BF98" s="188">
        <f t="shared" si="81"/>
        <v>116.29</v>
      </c>
      <c r="BG98" s="210">
        <f>BE98*0.03</f>
        <v>-23.8917</v>
      </c>
      <c r="BH98" s="174">
        <v>826.56</v>
      </c>
      <c r="BI98" s="174">
        <v>909.21600000000001</v>
      </c>
      <c r="BJ98" s="174">
        <v>991.87199999999996</v>
      </c>
      <c r="BK98" s="174">
        <v>1</v>
      </c>
      <c r="BL98" s="174">
        <v>826.56</v>
      </c>
      <c r="BM98" s="188">
        <f>VLOOKUP(B:B,[1]Sheet17!$E$1:$F$65536,2,0)</f>
        <v>450.05</v>
      </c>
      <c r="BN98" s="188">
        <f t="shared" si="82"/>
        <v>-376.51</v>
      </c>
      <c r="BO98" s="188">
        <f t="shared" si="83"/>
        <v>-376.51</v>
      </c>
      <c r="BP98" s="188">
        <f>BM98*0.15</f>
        <v>67.507499999999993</v>
      </c>
      <c r="BQ98" s="188">
        <f>BN98*0.05</f>
        <v>-18.825500000000002</v>
      </c>
      <c r="BR98" s="174">
        <v>6759.9</v>
      </c>
      <c r="BS98" s="174">
        <v>7435.89</v>
      </c>
      <c r="BT98" s="174">
        <v>8111.88</v>
      </c>
      <c r="BU98" s="174">
        <v>1</v>
      </c>
      <c r="BV98" s="174">
        <v>6759.9</v>
      </c>
      <c r="BW98" s="188">
        <f>VLOOKUP(B:B,[2]Sheet1!$G$1:$H$65536,2,0)</f>
        <v>3629.5</v>
      </c>
      <c r="BX98" s="188">
        <f t="shared" si="84"/>
        <v>-3130.4</v>
      </c>
      <c r="BY98" s="188">
        <f t="shared" si="85"/>
        <v>-3130.4</v>
      </c>
      <c r="BZ98" s="166">
        <f>BW98*0.08</f>
        <v>290.36</v>
      </c>
      <c r="CA98" s="174">
        <f>BX98*0.05</f>
        <v>-156.52000000000001</v>
      </c>
      <c r="CB98" s="188">
        <f t="shared" si="86"/>
        <v>520.67650000000003</v>
      </c>
      <c r="CC98" s="218">
        <f>VLOOKUP(B:B,[3]门店完成率!$A:$Y,25,0)</f>
        <v>0.74879924731182801</v>
      </c>
      <c r="CD98" s="188">
        <f>CB98*0.5+CB98*0.5*CC98</f>
        <v>455.27933564647901</v>
      </c>
      <c r="CE98" s="188">
        <f t="shared" si="94"/>
        <v>455.28</v>
      </c>
      <c r="CF98" s="188">
        <f t="shared" si="87"/>
        <v>-226.50620000000001</v>
      </c>
      <c r="CG98" s="223">
        <v>-113.25</v>
      </c>
      <c r="FV98" s="159"/>
      <c r="FW98" s="159"/>
      <c r="FX98" s="159"/>
      <c r="FY98" s="159"/>
      <c r="FZ98" s="159"/>
    </row>
    <row r="99" spans="1:213" s="155" customFormat="1" ht="12.95" customHeight="1">
      <c r="A99" s="174">
        <v>92</v>
      </c>
      <c r="B99" s="174">
        <v>752</v>
      </c>
      <c r="C99" s="174" t="s">
        <v>141</v>
      </c>
      <c r="D99" s="174" t="s">
        <v>122</v>
      </c>
      <c r="E99" s="174">
        <v>1</v>
      </c>
      <c r="F99" s="174">
        <v>2</v>
      </c>
      <c r="G99" s="174">
        <v>3</v>
      </c>
      <c r="H99" s="174">
        <v>2</v>
      </c>
      <c r="I99" s="174">
        <v>2</v>
      </c>
      <c r="J99" s="165">
        <v>0</v>
      </c>
      <c r="K99" s="165">
        <v>0</v>
      </c>
      <c r="L99" s="165">
        <v>0</v>
      </c>
      <c r="M99" s="165">
        <v>0</v>
      </c>
      <c r="N99" s="165">
        <f t="shared" si="69"/>
        <v>-1</v>
      </c>
      <c r="O99" s="165">
        <f t="shared" si="70"/>
        <v>-2</v>
      </c>
      <c r="P99" s="165">
        <f t="shared" si="97"/>
        <v>0</v>
      </c>
      <c r="Q99" s="165">
        <f t="shared" si="98"/>
        <v>-15</v>
      </c>
      <c r="R99" s="174">
        <v>915</v>
      </c>
      <c r="S99" s="174">
        <v>1006.5</v>
      </c>
      <c r="T99" s="174">
        <v>1098</v>
      </c>
      <c r="U99" s="174">
        <v>1</v>
      </c>
      <c r="V99" s="174">
        <v>915</v>
      </c>
      <c r="W99" s="188">
        <f>VLOOKUP(B:B,[1]Sheet1!$F$1:$G$65536,2,0)</f>
        <v>1453.95</v>
      </c>
      <c r="X99" s="188">
        <f t="shared" si="71"/>
        <v>538.95000000000005</v>
      </c>
      <c r="Y99" s="188">
        <f t="shared" si="72"/>
        <v>538.95000000000005</v>
      </c>
      <c r="Z99" s="188">
        <f>W99*0.07</f>
        <v>101.7765</v>
      </c>
      <c r="AA99" s="174"/>
      <c r="AB99" s="174">
        <v>32</v>
      </c>
      <c r="AC99" s="174">
        <v>35</v>
      </c>
      <c r="AD99" s="174">
        <v>38</v>
      </c>
      <c r="AE99" s="174">
        <v>3</v>
      </c>
      <c r="AF99" s="174">
        <v>38</v>
      </c>
      <c r="AG99" s="206">
        <f>VLOOKUP(B:B,[1]Sheet3!$G$1:$H$65536,2,0)</f>
        <v>21</v>
      </c>
      <c r="AH99" s="206">
        <f>VLOOKUP(B:B,[1]Sheet5!$E$1:$F$65536,2,0)</f>
        <v>10</v>
      </c>
      <c r="AI99" s="206">
        <f>VLOOKUP(B:B,[1]Sheet8!$G$1:$H$65536,2,0)</f>
        <v>23</v>
      </c>
      <c r="AJ99" s="206">
        <f t="shared" si="73"/>
        <v>54</v>
      </c>
      <c r="AK99" s="196">
        <f t="shared" si="74"/>
        <v>22</v>
      </c>
      <c r="AL99" s="196">
        <f t="shared" si="75"/>
        <v>16</v>
      </c>
      <c r="AM99" s="196">
        <f>AG99*2.5+AH99*1.5+AI99*4</f>
        <v>159.5</v>
      </c>
      <c r="AN99" s="174"/>
      <c r="AO99" s="174">
        <v>195.3</v>
      </c>
      <c r="AP99" s="174">
        <v>214.83</v>
      </c>
      <c r="AQ99" s="174">
        <v>234.36</v>
      </c>
      <c r="AR99" s="174">
        <v>3</v>
      </c>
      <c r="AS99" s="174">
        <v>234.36</v>
      </c>
      <c r="AT99" s="188">
        <f>VLOOKUP(B:B,[1]Sheet10!$F$1:$G$65536,2,0)</f>
        <v>86.6</v>
      </c>
      <c r="AU99" s="188">
        <f>VLOOKUP(B:B,[1]Sheet12!$G$1:$H$65536,2,0)</f>
        <v>222</v>
      </c>
      <c r="AV99" s="188">
        <f t="shared" si="76"/>
        <v>308.60000000000002</v>
      </c>
      <c r="AW99" s="188">
        <f t="shared" si="77"/>
        <v>113.3</v>
      </c>
      <c r="AX99" s="188">
        <f t="shared" si="78"/>
        <v>74.239999999999995</v>
      </c>
      <c r="AY99" s="168">
        <f>AT99*0.09+AU99*0.05</f>
        <v>18.893999999999998</v>
      </c>
      <c r="AZ99" s="174"/>
      <c r="BA99" s="191">
        <v>1500</v>
      </c>
      <c r="BB99" s="188">
        <f>VLOOKUP(B:B,[1]Sheet14!$G$1:$I$65536,3,0)</f>
        <v>1851.2</v>
      </c>
      <c r="BC99" s="188">
        <v>336.91</v>
      </c>
      <c r="BD99" s="188">
        <f t="shared" si="79"/>
        <v>2188.11</v>
      </c>
      <c r="BE99" s="188">
        <f t="shared" si="80"/>
        <v>688.11</v>
      </c>
      <c r="BF99" s="188">
        <f t="shared" si="81"/>
        <v>195.22730000000001</v>
      </c>
      <c r="BG99" s="174"/>
      <c r="BH99" s="174">
        <v>617.76</v>
      </c>
      <c r="BI99" s="174">
        <v>679.53599999999994</v>
      </c>
      <c r="BJ99" s="174">
        <v>741.31200000000001</v>
      </c>
      <c r="BK99" s="174">
        <v>2</v>
      </c>
      <c r="BL99" s="174">
        <v>741.31200000000001</v>
      </c>
      <c r="BM99" s="188">
        <f>VLOOKUP(B:B,[1]Sheet17!$E$1:$F$65536,2,0)</f>
        <v>835.5</v>
      </c>
      <c r="BN99" s="188">
        <f t="shared" si="82"/>
        <v>217.74</v>
      </c>
      <c r="BO99" s="188">
        <f t="shared" si="83"/>
        <v>94.188000000000002</v>
      </c>
      <c r="BP99" s="188">
        <f>BM99*0.2</f>
        <v>167.1</v>
      </c>
      <c r="BQ99" s="174"/>
      <c r="BR99" s="174">
        <v>6084.72</v>
      </c>
      <c r="BS99" s="174">
        <v>6693.192</v>
      </c>
      <c r="BT99" s="174">
        <v>7301.6639999999998</v>
      </c>
      <c r="BU99" s="174">
        <v>3</v>
      </c>
      <c r="BV99" s="174">
        <v>7301.6639999999998</v>
      </c>
      <c r="BW99" s="188">
        <f>VLOOKUP(B:B,[2]Sheet1!$G$1:$H$65536,2,0)</f>
        <v>8345.02</v>
      </c>
      <c r="BX99" s="188">
        <f t="shared" si="84"/>
        <v>2260.3000000000002</v>
      </c>
      <c r="BY99" s="188">
        <f t="shared" si="85"/>
        <v>1043.356</v>
      </c>
      <c r="BZ99" s="166">
        <f>BW99*0.12</f>
        <v>1001.4023999999999</v>
      </c>
      <c r="CA99" s="174"/>
      <c r="CB99" s="188">
        <f t="shared" si="86"/>
        <v>1643.9002</v>
      </c>
      <c r="CC99" s="218">
        <f>VLOOKUP(B:B,[3]门店完成率!$A:$Y,25,0)</f>
        <v>0.99826401209677396</v>
      </c>
      <c r="CD99" s="188">
        <f>CB99*0.5+CB99*0.5*CC99</f>
        <v>1642.4733045693399</v>
      </c>
      <c r="CE99" s="188">
        <f t="shared" si="94"/>
        <v>1642.47</v>
      </c>
      <c r="CF99" s="188">
        <f t="shared" si="87"/>
        <v>-15</v>
      </c>
      <c r="CG99" s="188">
        <f t="shared" si="93"/>
        <v>-15</v>
      </c>
    </row>
    <row r="100" spans="1:213" s="155" customFormat="1" ht="12.95" customHeight="1">
      <c r="A100" s="174">
        <v>93</v>
      </c>
      <c r="B100" s="174">
        <v>102934</v>
      </c>
      <c r="C100" s="174" t="s">
        <v>142</v>
      </c>
      <c r="D100" s="174" t="s">
        <v>122</v>
      </c>
      <c r="E100" s="174"/>
      <c r="F100" s="174"/>
      <c r="G100" s="174"/>
      <c r="H100" s="174"/>
      <c r="I100" s="174"/>
      <c r="J100" s="165">
        <v>0.25</v>
      </c>
      <c r="K100" s="165">
        <f>VLOOKUP(B:B,[5]Sheet1!$I$1:$K$65536,3,0)</f>
        <v>0.25</v>
      </c>
      <c r="L100" s="165">
        <f>VLOOKUP(B:B,[5]Sheet1!$I$1:$M$65536,5,0)</f>
        <v>0</v>
      </c>
      <c r="M100" s="165">
        <f>VLOOKUP(B:B,[5]Sheet1!$I$1:$N$65536,6,0)</f>
        <v>0</v>
      </c>
      <c r="N100" s="165">
        <f t="shared" si="69"/>
        <v>0.25</v>
      </c>
      <c r="O100" s="165">
        <f t="shared" si="70"/>
        <v>0.25</v>
      </c>
      <c r="P100" s="165">
        <f t="shared" si="97"/>
        <v>17.5</v>
      </c>
      <c r="Q100" s="165">
        <f t="shared" si="98"/>
        <v>3.75</v>
      </c>
      <c r="R100" s="241"/>
      <c r="S100" s="174"/>
      <c r="T100" s="174"/>
      <c r="U100" s="174"/>
      <c r="V100" s="241"/>
      <c r="W100" s="188">
        <f>VLOOKUP(B:B,[1]Sheet1!$F$1:$G$65536,2,0)</f>
        <v>1126.93</v>
      </c>
      <c r="X100" s="188">
        <f t="shared" si="71"/>
        <v>1126.93</v>
      </c>
      <c r="Y100" s="188">
        <f t="shared" si="72"/>
        <v>1126.93</v>
      </c>
      <c r="Z100" s="188">
        <f>W100*0.07</f>
        <v>78.885099999999994</v>
      </c>
      <c r="AA100" s="241"/>
      <c r="AB100" s="174"/>
      <c r="AC100" s="174"/>
      <c r="AD100" s="174"/>
      <c r="AE100" s="174"/>
      <c r="AF100" s="174"/>
      <c r="AG100" s="206">
        <f>VLOOKUP(B:B,[1]Sheet3!$G$1:$H$65536,2,0)</f>
        <v>60</v>
      </c>
      <c r="AH100" s="206">
        <f>VLOOKUP(B:B,[1]Sheet5!$E$1:$F$65536,2,0)</f>
        <v>18</v>
      </c>
      <c r="AI100" s="206">
        <f>VLOOKUP(B:B,[1]Sheet8!$G$1:$H$65536,2,0)</f>
        <v>66</v>
      </c>
      <c r="AJ100" s="206">
        <f t="shared" si="73"/>
        <v>144</v>
      </c>
      <c r="AK100" s="196">
        <f t="shared" si="74"/>
        <v>144</v>
      </c>
      <c r="AL100" s="196">
        <f t="shared" si="75"/>
        <v>144</v>
      </c>
      <c r="AM100" s="196">
        <f>AG100*1+AH100*0.5+AI100*2</f>
        <v>201</v>
      </c>
      <c r="AN100" s="174"/>
      <c r="AO100" s="174"/>
      <c r="AP100" s="174"/>
      <c r="AQ100" s="174"/>
      <c r="AR100" s="174"/>
      <c r="AS100" s="174"/>
      <c r="AT100" s="188">
        <f>VLOOKUP(B:B,[1]Sheet10!$F$1:$G$65536,2,0)</f>
        <v>171</v>
      </c>
      <c r="AU100" s="188">
        <f>VLOOKUP(B:B,[1]Sheet12!$G$1:$H$65536,2,0)</f>
        <v>267.39999999999998</v>
      </c>
      <c r="AV100" s="188">
        <f t="shared" si="76"/>
        <v>438.4</v>
      </c>
      <c r="AW100" s="188">
        <f t="shared" si="77"/>
        <v>438.4</v>
      </c>
      <c r="AX100" s="188">
        <f t="shared" si="78"/>
        <v>438.4</v>
      </c>
      <c r="AY100" s="166">
        <f>AT100*0.05+AU100*0.03</f>
        <v>16.571999999999999</v>
      </c>
      <c r="AZ100" s="174"/>
      <c r="BA100" s="191"/>
      <c r="BB100" s="188">
        <f>VLOOKUP(B:B,[1]Sheet14!$G$1:$I$65536,3,0)</f>
        <v>13814.71</v>
      </c>
      <c r="BC100" s="188">
        <v>169.69</v>
      </c>
      <c r="BD100" s="188">
        <f t="shared" si="79"/>
        <v>13984.4</v>
      </c>
      <c r="BE100" s="188">
        <f t="shared" si="80"/>
        <v>13984.4</v>
      </c>
      <c r="BF100" s="188">
        <f t="shared" si="81"/>
        <v>1386.5617</v>
      </c>
      <c r="BG100" s="174"/>
      <c r="BH100" s="174"/>
      <c r="BI100" s="174"/>
      <c r="BJ100" s="174"/>
      <c r="BK100" s="174"/>
      <c r="BL100" s="174"/>
      <c r="BM100" s="188">
        <f>VLOOKUP(B:B,[1]Sheet17!$E$1:$F$65536,2,0)</f>
        <v>605.79999999999995</v>
      </c>
      <c r="BN100" s="188">
        <f t="shared" si="82"/>
        <v>605.79999999999995</v>
      </c>
      <c r="BO100" s="188">
        <f t="shared" si="83"/>
        <v>605.79999999999995</v>
      </c>
      <c r="BP100" s="188">
        <f>BM100*0.15</f>
        <v>90.87</v>
      </c>
      <c r="BQ100" s="174"/>
      <c r="BR100" s="174"/>
      <c r="BS100" s="174"/>
      <c r="BT100" s="174"/>
      <c r="BU100" s="174"/>
      <c r="BV100" s="174"/>
      <c r="BW100" s="188">
        <f>VLOOKUP(B:B,[2]Sheet1!$G$1:$H$65536,2,0)</f>
        <v>16494.45</v>
      </c>
      <c r="BX100" s="188">
        <f t="shared" si="84"/>
        <v>16494.45</v>
      </c>
      <c r="BY100" s="188">
        <f t="shared" si="85"/>
        <v>16494.45</v>
      </c>
      <c r="BZ100" s="166">
        <f>BW100*0.08</f>
        <v>1319.556</v>
      </c>
      <c r="CA100" s="174"/>
      <c r="CB100" s="188">
        <f t="shared" si="86"/>
        <v>3110.9448000000002</v>
      </c>
      <c r="CC100" s="218">
        <f>VLOOKUP(B:B,[3]门店完成率!$A:$Y,25,0)</f>
        <v>1.5377544179523099</v>
      </c>
      <c r="CD100" s="166">
        <f>CB100</f>
        <v>3110.9448000000002</v>
      </c>
      <c r="CE100" s="188">
        <f t="shared" si="94"/>
        <v>3110.94</v>
      </c>
      <c r="CF100" s="188">
        <f t="shared" si="87"/>
        <v>3.75</v>
      </c>
      <c r="CG100" s="188">
        <f t="shared" si="93"/>
        <v>3.75</v>
      </c>
    </row>
    <row r="101" spans="1:213" s="155" customFormat="1" ht="12.95" customHeight="1">
      <c r="A101" s="174">
        <v>94</v>
      </c>
      <c r="B101" s="174">
        <v>103198</v>
      </c>
      <c r="C101" s="174" t="s">
        <v>143</v>
      </c>
      <c r="D101" s="174" t="s">
        <v>122</v>
      </c>
      <c r="E101" s="174"/>
      <c r="F101" s="174"/>
      <c r="G101" s="174"/>
      <c r="H101" s="174"/>
      <c r="I101" s="174"/>
      <c r="J101" s="165">
        <v>2</v>
      </c>
      <c r="K101" s="165">
        <f>VLOOKUP(B:B,[5]Sheet1!$I$1:$K$65536,3,0)</f>
        <v>0</v>
      </c>
      <c r="L101" s="165">
        <f>VLOOKUP(B:B,[5]Sheet1!$I$1:$M$65536,5,0)</f>
        <v>0</v>
      </c>
      <c r="M101" s="165">
        <f>VLOOKUP(B:B,[5]Sheet1!$I$1:$N$65536,6,0)</f>
        <v>0</v>
      </c>
      <c r="N101" s="165">
        <f t="shared" si="69"/>
        <v>2</v>
      </c>
      <c r="O101" s="165">
        <f t="shared" si="70"/>
        <v>2</v>
      </c>
      <c r="P101" s="165">
        <f t="shared" si="97"/>
        <v>0</v>
      </c>
      <c r="Q101" s="165">
        <f t="shared" si="98"/>
        <v>30</v>
      </c>
      <c r="R101" s="241"/>
      <c r="S101" s="174"/>
      <c r="T101" s="174"/>
      <c r="U101" s="174"/>
      <c r="V101" s="241"/>
      <c r="W101" s="188">
        <f>VLOOKUP(B:B,[1]Sheet1!$F$1:$G$65536,2,0)</f>
        <v>1520.45</v>
      </c>
      <c r="X101" s="188">
        <f t="shared" si="71"/>
        <v>1520.45</v>
      </c>
      <c r="Y101" s="188">
        <f t="shared" si="72"/>
        <v>1520.45</v>
      </c>
      <c r="Z101" s="188">
        <f>W101*0.07</f>
        <v>106.4315</v>
      </c>
      <c r="AA101" s="241"/>
      <c r="AB101" s="174"/>
      <c r="AC101" s="174"/>
      <c r="AD101" s="174"/>
      <c r="AE101" s="174"/>
      <c r="AF101" s="174"/>
      <c r="AG101" s="206">
        <f>VLOOKUP(B:B,[1]Sheet3!$G$1:$H$65536,2,0)</f>
        <v>32</v>
      </c>
      <c r="AH101" s="206">
        <f>VLOOKUP(B:B,[1]Sheet5!$E$1:$F$65536,2,0)</f>
        <v>12</v>
      </c>
      <c r="AI101" s="206">
        <f>VLOOKUP(B:B,[1]Sheet8!$G$1:$H$65536,2,0)</f>
        <v>49</v>
      </c>
      <c r="AJ101" s="206">
        <f t="shared" si="73"/>
        <v>93</v>
      </c>
      <c r="AK101" s="196">
        <f t="shared" si="74"/>
        <v>93</v>
      </c>
      <c r="AL101" s="196">
        <f t="shared" si="75"/>
        <v>93</v>
      </c>
      <c r="AM101" s="196">
        <f>AG101*1+AH101*0.5+AI101*2</f>
        <v>136</v>
      </c>
      <c r="AN101" s="174"/>
      <c r="AO101" s="174"/>
      <c r="AP101" s="174"/>
      <c r="AQ101" s="174"/>
      <c r="AR101" s="174"/>
      <c r="AS101" s="174"/>
      <c r="AT101" s="188">
        <f>VLOOKUP(B:B,[1]Sheet10!$F$1:$G$65536,2,0)</f>
        <v>251.2</v>
      </c>
      <c r="AU101" s="188">
        <f>VLOOKUP(B:B,[1]Sheet12!$G$1:$H$65536,2,0)</f>
        <v>76.8</v>
      </c>
      <c r="AV101" s="188">
        <f t="shared" si="76"/>
        <v>328</v>
      </c>
      <c r="AW101" s="188">
        <f t="shared" si="77"/>
        <v>328</v>
      </c>
      <c r="AX101" s="188">
        <f t="shared" si="78"/>
        <v>328</v>
      </c>
      <c r="AY101" s="166">
        <f>AT101*0.05+AU101*0.03</f>
        <v>14.864000000000001</v>
      </c>
      <c r="AZ101" s="174"/>
      <c r="BA101" s="191"/>
      <c r="BB101" s="188">
        <f>VLOOKUP(B:B,[1]Sheet14!$G$1:$I$65536,3,0)</f>
        <v>4838.8</v>
      </c>
      <c r="BC101" s="188">
        <v>92.68</v>
      </c>
      <c r="BD101" s="188">
        <f t="shared" si="79"/>
        <v>4931.4799999999996</v>
      </c>
      <c r="BE101" s="188">
        <f t="shared" si="80"/>
        <v>4931.4799999999996</v>
      </c>
      <c r="BF101" s="188">
        <f t="shared" si="81"/>
        <v>486.66039999999998</v>
      </c>
      <c r="BG101" s="174"/>
      <c r="BH101" s="174"/>
      <c r="BI101" s="174"/>
      <c r="BJ101" s="174"/>
      <c r="BK101" s="174"/>
      <c r="BL101" s="174"/>
      <c r="BM101" s="188">
        <f>VLOOKUP(B:B,[1]Sheet17!$E$1:$F$65536,2,0)</f>
        <v>564.6</v>
      </c>
      <c r="BN101" s="188">
        <f t="shared" si="82"/>
        <v>564.6</v>
      </c>
      <c r="BO101" s="188">
        <f t="shared" si="83"/>
        <v>564.6</v>
      </c>
      <c r="BP101" s="188">
        <f>BM101*0.15</f>
        <v>84.69</v>
      </c>
      <c r="BQ101" s="174"/>
      <c r="BR101" s="174"/>
      <c r="BS101" s="174"/>
      <c r="BT101" s="174"/>
      <c r="BU101" s="174"/>
      <c r="BV101" s="174"/>
      <c r="BW101" s="188">
        <f>VLOOKUP(B:B,[2]Sheet1!$G$1:$H$65536,2,0)</f>
        <v>8510.82</v>
      </c>
      <c r="BX101" s="188">
        <f t="shared" si="84"/>
        <v>8510.82</v>
      </c>
      <c r="BY101" s="188">
        <f t="shared" si="85"/>
        <v>8510.82</v>
      </c>
      <c r="BZ101" s="166">
        <f>BW101*0.08</f>
        <v>680.86559999999997</v>
      </c>
      <c r="CA101" s="174"/>
      <c r="CB101" s="188">
        <f t="shared" si="86"/>
        <v>1509.5115000000001</v>
      </c>
      <c r="CC101" s="218">
        <f>VLOOKUP(B:B,[3]门店完成率!$A:$Y,25,0)</f>
        <v>0.99645064516129001</v>
      </c>
      <c r="CD101" s="188">
        <f>CB101*0.5+CB101*0.5*CC101</f>
        <v>1506.83260402669</v>
      </c>
      <c r="CE101" s="188">
        <f t="shared" si="94"/>
        <v>1506.83</v>
      </c>
      <c r="CF101" s="188">
        <f t="shared" si="87"/>
        <v>30</v>
      </c>
      <c r="CG101" s="188">
        <f t="shared" si="93"/>
        <v>30</v>
      </c>
    </row>
    <row r="102" spans="1:213" s="155" customFormat="1" ht="12.95" customHeight="1">
      <c r="A102" s="174">
        <v>95</v>
      </c>
      <c r="B102" s="174">
        <v>102565</v>
      </c>
      <c r="C102" s="174" t="s">
        <v>144</v>
      </c>
      <c r="D102" s="174" t="s">
        <v>122</v>
      </c>
      <c r="E102" s="174"/>
      <c r="F102" s="174"/>
      <c r="G102" s="174"/>
      <c r="H102" s="174"/>
      <c r="I102" s="174"/>
      <c r="J102" s="165">
        <v>0</v>
      </c>
      <c r="K102" s="165">
        <f>VLOOKUP(B:B,[5]Sheet1!$I$1:$K$65536,3,0)</f>
        <v>0</v>
      </c>
      <c r="L102" s="165">
        <f>VLOOKUP(B:B,[5]Sheet1!$I$1:$M$65536,5,0)</f>
        <v>0</v>
      </c>
      <c r="M102" s="165">
        <f>VLOOKUP(B:B,[5]Sheet1!$I$1:$N$65536,6,0)</f>
        <v>0</v>
      </c>
      <c r="N102" s="165">
        <f t="shared" si="69"/>
        <v>0</v>
      </c>
      <c r="O102" s="165">
        <f t="shared" si="70"/>
        <v>0</v>
      </c>
      <c r="P102" s="165">
        <f t="shared" si="97"/>
        <v>0</v>
      </c>
      <c r="Q102" s="165">
        <f t="shared" si="98"/>
        <v>0</v>
      </c>
      <c r="R102" s="241"/>
      <c r="S102" s="174"/>
      <c r="T102" s="174"/>
      <c r="U102" s="174"/>
      <c r="V102" s="241"/>
      <c r="W102" s="188">
        <f>VLOOKUP(B:B,[1]Sheet1!$F$1:$G$65536,2,0)</f>
        <v>1314.4</v>
      </c>
      <c r="X102" s="188">
        <f t="shared" si="71"/>
        <v>1314.4</v>
      </c>
      <c r="Y102" s="188">
        <f t="shared" si="72"/>
        <v>1314.4</v>
      </c>
      <c r="Z102" s="188">
        <f>W102*0.07</f>
        <v>92.007999999999996</v>
      </c>
      <c r="AA102" s="241"/>
      <c r="AB102" s="174"/>
      <c r="AC102" s="174"/>
      <c r="AD102" s="174"/>
      <c r="AE102" s="174"/>
      <c r="AF102" s="174"/>
      <c r="AG102" s="206">
        <f>VLOOKUP(B:B,[1]Sheet3!$G$1:$H$65536,2,0)</f>
        <v>36</v>
      </c>
      <c r="AH102" s="206">
        <f>VLOOKUP(B:B,[1]Sheet5!$E$1:$F$65536,2,0)</f>
        <v>25</v>
      </c>
      <c r="AI102" s="206">
        <f>VLOOKUP(B:B,[1]Sheet8!$G$1:$H$65536,2,0)</f>
        <v>55</v>
      </c>
      <c r="AJ102" s="206">
        <f t="shared" si="73"/>
        <v>116</v>
      </c>
      <c r="AK102" s="196">
        <f t="shared" si="74"/>
        <v>116</v>
      </c>
      <c r="AL102" s="196">
        <f t="shared" si="75"/>
        <v>116</v>
      </c>
      <c r="AM102" s="196">
        <f>AG102*1+AH102*0.5+AI102*2</f>
        <v>158.5</v>
      </c>
      <c r="AN102" s="174"/>
      <c r="AO102" s="174"/>
      <c r="AP102" s="174"/>
      <c r="AQ102" s="174"/>
      <c r="AR102" s="174"/>
      <c r="AS102" s="174"/>
      <c r="AT102" s="188">
        <f>VLOOKUP(B:B,[1]Sheet10!$F$1:$G$65536,2,0)</f>
        <v>262.39999999999998</v>
      </c>
      <c r="AU102" s="188">
        <f>VLOOKUP(B:B,[1]Sheet12!$G$1:$H$65536,2,0)</f>
        <v>365.8</v>
      </c>
      <c r="AV102" s="188">
        <f t="shared" si="76"/>
        <v>628.20000000000005</v>
      </c>
      <c r="AW102" s="188">
        <f t="shared" si="77"/>
        <v>628.20000000000005</v>
      </c>
      <c r="AX102" s="188">
        <f t="shared" si="78"/>
        <v>628.20000000000005</v>
      </c>
      <c r="AY102" s="166">
        <f>AT102*0.05+AU102*0.03</f>
        <v>24.094000000000001</v>
      </c>
      <c r="AZ102" s="174"/>
      <c r="BA102" s="191"/>
      <c r="BB102" s="188">
        <f>VLOOKUP(B:B,[1]Sheet14!$G$1:$I$65536,3,0)</f>
        <v>3773.52000000001</v>
      </c>
      <c r="BC102" s="188">
        <v>166.9</v>
      </c>
      <c r="BD102" s="188">
        <f t="shared" si="79"/>
        <v>3940.4200000000101</v>
      </c>
      <c r="BE102" s="188">
        <f t="shared" si="80"/>
        <v>3940.4200000000101</v>
      </c>
      <c r="BF102" s="188">
        <f t="shared" si="81"/>
        <v>382.359000000001</v>
      </c>
      <c r="BG102" s="174"/>
      <c r="BH102" s="174"/>
      <c r="BI102" s="174"/>
      <c r="BJ102" s="174"/>
      <c r="BK102" s="174"/>
      <c r="BL102" s="174"/>
      <c r="BM102" s="188">
        <f>VLOOKUP(B:B,[1]Sheet17!$E$1:$F$65536,2,0)</f>
        <v>670.22</v>
      </c>
      <c r="BN102" s="188">
        <f t="shared" si="82"/>
        <v>670.22</v>
      </c>
      <c r="BO102" s="188">
        <f t="shared" si="83"/>
        <v>670.22</v>
      </c>
      <c r="BP102" s="188">
        <f>BM102*0.15</f>
        <v>100.533</v>
      </c>
      <c r="BQ102" s="174"/>
      <c r="BR102" s="174"/>
      <c r="BS102" s="174"/>
      <c r="BT102" s="174"/>
      <c r="BU102" s="174"/>
      <c r="BV102" s="174"/>
      <c r="BW102" s="188">
        <f>VLOOKUP(B:B,[2]Sheet1!$G$1:$H$65536,2,0)</f>
        <v>10182.280000000001</v>
      </c>
      <c r="BX102" s="188">
        <f t="shared" si="84"/>
        <v>10182.280000000001</v>
      </c>
      <c r="BY102" s="188">
        <f t="shared" si="85"/>
        <v>10182.280000000001</v>
      </c>
      <c r="BZ102" s="166">
        <f>BW102*0.08</f>
        <v>814.58240000000001</v>
      </c>
      <c r="CA102" s="174"/>
      <c r="CB102" s="188">
        <f t="shared" si="86"/>
        <v>1572.0763999999999</v>
      </c>
      <c r="CC102" s="218">
        <f>VLOOKUP(B:B,[3]门店完成率!$A:$Y,25,0)</f>
        <v>1.1894999078341</v>
      </c>
      <c r="CD102" s="166">
        <f>CB102</f>
        <v>1572.0763999999999</v>
      </c>
      <c r="CE102" s="188">
        <f t="shared" si="94"/>
        <v>1572.08</v>
      </c>
      <c r="CF102" s="188">
        <f t="shared" si="87"/>
        <v>0</v>
      </c>
      <c r="CG102" s="188">
        <f t="shared" si="93"/>
        <v>0</v>
      </c>
    </row>
    <row r="103" spans="1:213" s="159" customFormat="1" ht="12.95" customHeight="1">
      <c r="A103" s="174">
        <v>96</v>
      </c>
      <c r="B103" s="174">
        <v>103199</v>
      </c>
      <c r="C103" s="174" t="s">
        <v>145</v>
      </c>
      <c r="D103" s="174" t="s">
        <v>122</v>
      </c>
      <c r="E103" s="174"/>
      <c r="F103" s="174"/>
      <c r="G103" s="174"/>
      <c r="H103" s="174"/>
      <c r="I103" s="174"/>
      <c r="J103" s="165">
        <v>0</v>
      </c>
      <c r="K103" s="165">
        <v>0</v>
      </c>
      <c r="L103" s="165">
        <v>0</v>
      </c>
      <c r="M103" s="165">
        <v>0</v>
      </c>
      <c r="N103" s="165">
        <f t="shared" si="69"/>
        <v>0</v>
      </c>
      <c r="O103" s="165">
        <f t="shared" si="70"/>
        <v>0</v>
      </c>
      <c r="P103" s="165">
        <f t="shared" si="97"/>
        <v>0</v>
      </c>
      <c r="Q103" s="165">
        <f t="shared" si="98"/>
        <v>0</v>
      </c>
      <c r="R103" s="241"/>
      <c r="S103" s="174"/>
      <c r="T103" s="174"/>
      <c r="U103" s="174"/>
      <c r="V103" s="241"/>
      <c r="W103" s="188">
        <f>VLOOKUP(B:B,[1]Sheet1!$F$1:$G$65536,2,0)</f>
        <v>946.73</v>
      </c>
      <c r="X103" s="188">
        <f t="shared" si="71"/>
        <v>946.73</v>
      </c>
      <c r="Y103" s="188">
        <f t="shared" si="72"/>
        <v>946.73</v>
      </c>
      <c r="Z103" s="188">
        <f>W103*0.07</f>
        <v>66.271100000000004</v>
      </c>
      <c r="AA103" s="241"/>
      <c r="AB103" s="174"/>
      <c r="AC103" s="174"/>
      <c r="AD103" s="174"/>
      <c r="AE103" s="174"/>
      <c r="AF103" s="174"/>
      <c r="AG103" s="206">
        <f>VLOOKUP(B:B,[1]Sheet3!$G$1:$H$65536,2,0)</f>
        <v>42</v>
      </c>
      <c r="AH103" s="206">
        <f>VLOOKUP(B:B,[1]Sheet5!$E$1:$F$65536,2,0)</f>
        <v>22</v>
      </c>
      <c r="AI103" s="206">
        <f>VLOOKUP(B:B,[1]Sheet8!$G$1:$H$65536,2,0)</f>
        <v>21</v>
      </c>
      <c r="AJ103" s="206">
        <f t="shared" si="73"/>
        <v>85</v>
      </c>
      <c r="AK103" s="196">
        <f t="shared" si="74"/>
        <v>85</v>
      </c>
      <c r="AL103" s="196">
        <f t="shared" si="75"/>
        <v>85</v>
      </c>
      <c r="AM103" s="196">
        <f>AG103*1+AH103*0.5+AI103*2</f>
        <v>95</v>
      </c>
      <c r="AN103" s="174"/>
      <c r="AO103" s="174"/>
      <c r="AP103" s="174"/>
      <c r="AQ103" s="174"/>
      <c r="AR103" s="174"/>
      <c r="AS103" s="174"/>
      <c r="AT103" s="188">
        <f>VLOOKUP(B:B,[1]Sheet10!$F$1:$G$65536,2,0)</f>
        <v>373</v>
      </c>
      <c r="AU103" s="188">
        <f>VLOOKUP(B:B,[1]Sheet12!$G$1:$H$65536,2,0)</f>
        <v>226.8</v>
      </c>
      <c r="AV103" s="188">
        <f t="shared" si="76"/>
        <v>599.79999999999995</v>
      </c>
      <c r="AW103" s="188">
        <f t="shared" si="77"/>
        <v>599.79999999999995</v>
      </c>
      <c r="AX103" s="188">
        <f t="shared" si="78"/>
        <v>599.79999999999995</v>
      </c>
      <c r="AY103" s="166">
        <f>AT103*0.05+AU103*0.03</f>
        <v>25.454000000000001</v>
      </c>
      <c r="AZ103" s="174"/>
      <c r="BA103" s="191"/>
      <c r="BB103" s="188">
        <f>VLOOKUP(B:B,[1]Sheet14!$G$1:$I$65536,3,0)</f>
        <v>2776.8</v>
      </c>
      <c r="BC103" s="188">
        <v>61.57</v>
      </c>
      <c r="BD103" s="188">
        <f t="shared" si="79"/>
        <v>2838.37</v>
      </c>
      <c r="BE103" s="188">
        <f t="shared" si="80"/>
        <v>2838.37</v>
      </c>
      <c r="BF103" s="188">
        <f t="shared" si="81"/>
        <v>279.52710000000002</v>
      </c>
      <c r="BG103" s="249"/>
      <c r="BH103" s="174"/>
      <c r="BI103" s="174"/>
      <c r="BJ103" s="174"/>
      <c r="BK103" s="174"/>
      <c r="BL103" s="174"/>
      <c r="BM103" s="188">
        <f>VLOOKUP(B:B,[1]Sheet17!$E$1:$F$65536,2,0)</f>
        <v>244.16</v>
      </c>
      <c r="BN103" s="188">
        <f t="shared" si="82"/>
        <v>244.16</v>
      </c>
      <c r="BO103" s="188">
        <f t="shared" si="83"/>
        <v>244.16</v>
      </c>
      <c r="BP103" s="188">
        <f>BM103*0.15</f>
        <v>36.624000000000002</v>
      </c>
      <c r="BQ103" s="174"/>
      <c r="BR103" s="174"/>
      <c r="BS103" s="174"/>
      <c r="BT103" s="174"/>
      <c r="BU103" s="174"/>
      <c r="BV103" s="174"/>
      <c r="BW103" s="188">
        <f>VLOOKUP(B:B,[2]Sheet1!$G$1:$H$65536,2,0)</f>
        <v>2837.61</v>
      </c>
      <c r="BX103" s="188">
        <f t="shared" si="84"/>
        <v>2837.61</v>
      </c>
      <c r="BY103" s="188">
        <f t="shared" si="85"/>
        <v>2837.61</v>
      </c>
      <c r="BZ103" s="166">
        <f>BW103*0.08</f>
        <v>227.00880000000001</v>
      </c>
      <c r="CA103" s="174"/>
      <c r="CB103" s="188">
        <f t="shared" si="86"/>
        <v>729.88499999999999</v>
      </c>
      <c r="CC103" s="218">
        <f>VLOOKUP(B:B,[3]门店完成率!$A:$Y,25,0)</f>
        <v>1.0073241935483901</v>
      </c>
      <c r="CD103" s="166">
        <f>CB103</f>
        <v>729.88499999999999</v>
      </c>
      <c r="CE103" s="188">
        <f t="shared" si="94"/>
        <v>729.89</v>
      </c>
      <c r="CF103" s="188">
        <f t="shared" si="87"/>
        <v>0</v>
      </c>
      <c r="CG103" s="188">
        <f t="shared" si="93"/>
        <v>0</v>
      </c>
      <c r="CH103" s="155"/>
      <c r="CI103" s="155"/>
      <c r="CJ103" s="155"/>
      <c r="CK103" s="155"/>
      <c r="CL103" s="155"/>
      <c r="CM103" s="155"/>
      <c r="CN103" s="155"/>
      <c r="CO103" s="155"/>
      <c r="CP103" s="155"/>
      <c r="CQ103" s="155"/>
      <c r="CR103" s="155"/>
      <c r="CS103" s="155"/>
      <c r="CT103" s="155"/>
      <c r="CU103" s="155"/>
      <c r="CV103" s="155"/>
      <c r="CW103" s="155"/>
      <c r="CX103" s="155"/>
      <c r="CY103" s="155"/>
      <c r="CZ103" s="155"/>
      <c r="DA103" s="155"/>
      <c r="DB103" s="155"/>
      <c r="DC103" s="155"/>
      <c r="DD103" s="155"/>
      <c r="DE103" s="155"/>
      <c r="DF103" s="155"/>
      <c r="DG103" s="155"/>
      <c r="DH103" s="155"/>
      <c r="DI103" s="155"/>
      <c r="DJ103" s="155"/>
      <c r="DK103" s="155"/>
      <c r="DL103" s="155"/>
      <c r="DM103" s="155"/>
      <c r="DN103" s="155"/>
      <c r="DO103" s="155"/>
      <c r="DP103" s="155"/>
      <c r="DQ103" s="155"/>
      <c r="DR103" s="155"/>
      <c r="DS103" s="155"/>
      <c r="DT103" s="155"/>
      <c r="DU103" s="155"/>
      <c r="DV103" s="155"/>
      <c r="DW103" s="155"/>
      <c r="DX103" s="155"/>
      <c r="DY103" s="155"/>
      <c r="DZ103" s="155"/>
      <c r="EA103" s="155"/>
      <c r="EB103" s="155"/>
      <c r="EC103" s="155"/>
      <c r="ED103" s="155"/>
      <c r="EE103" s="155"/>
      <c r="EF103" s="155"/>
      <c r="EG103" s="155"/>
      <c r="EH103" s="155"/>
      <c r="EI103" s="155"/>
      <c r="EJ103" s="155"/>
      <c r="EK103" s="155"/>
      <c r="EL103" s="155"/>
      <c r="EM103" s="155"/>
      <c r="EN103" s="155"/>
      <c r="EO103" s="155"/>
      <c r="EP103" s="155"/>
      <c r="EQ103" s="155"/>
      <c r="ER103" s="155"/>
      <c r="ES103" s="155"/>
      <c r="ET103" s="155"/>
      <c r="EU103" s="155"/>
      <c r="EV103" s="155"/>
      <c r="EW103" s="155"/>
      <c r="EX103" s="155"/>
      <c r="EY103" s="155"/>
      <c r="EZ103" s="155"/>
      <c r="FA103" s="155"/>
      <c r="FB103" s="155"/>
      <c r="FC103" s="155"/>
      <c r="FD103" s="155"/>
      <c r="FE103" s="155"/>
      <c r="FF103" s="155"/>
      <c r="FG103" s="155"/>
      <c r="FH103" s="155"/>
      <c r="FI103" s="155"/>
      <c r="FJ103" s="155"/>
      <c r="FK103" s="155"/>
    </row>
    <row r="104" spans="1:213" s="160" customFormat="1" ht="12.95" customHeight="1">
      <c r="A104" s="170"/>
      <c r="B104" s="170"/>
      <c r="C104" s="170"/>
      <c r="D104" s="170" t="s">
        <v>122</v>
      </c>
      <c r="E104" s="170">
        <f>SUM(E80:E103)</f>
        <v>56</v>
      </c>
      <c r="F104" s="170">
        <f t="shared" ref="F104:AK104" si="99">SUM(F80:F103)</f>
        <v>76</v>
      </c>
      <c r="G104" s="170">
        <f t="shared" si="99"/>
        <v>96</v>
      </c>
      <c r="H104" s="170">
        <f t="shared" si="99"/>
        <v>25</v>
      </c>
      <c r="I104" s="170">
        <f t="shared" si="99"/>
        <v>61</v>
      </c>
      <c r="J104" s="170">
        <f t="shared" si="99"/>
        <v>41.291899999999998</v>
      </c>
      <c r="K104" s="170">
        <f t="shared" si="99"/>
        <v>9.2919</v>
      </c>
      <c r="L104" s="170">
        <f t="shared" si="99"/>
        <v>22</v>
      </c>
      <c r="M104" s="170">
        <f t="shared" si="99"/>
        <v>4</v>
      </c>
      <c r="N104" s="170">
        <f t="shared" si="99"/>
        <v>-14.7081</v>
      </c>
      <c r="O104" s="170">
        <f t="shared" si="99"/>
        <v>-19.708100000000002</v>
      </c>
      <c r="P104" s="170">
        <f t="shared" si="99"/>
        <v>1229.1110000000001</v>
      </c>
      <c r="Q104" s="170">
        <f t="shared" si="99"/>
        <v>-272.13</v>
      </c>
      <c r="R104" s="170">
        <f t="shared" si="99"/>
        <v>58504.5</v>
      </c>
      <c r="S104" s="170">
        <f t="shared" si="99"/>
        <v>64354.95</v>
      </c>
      <c r="T104" s="170">
        <f t="shared" si="99"/>
        <v>70205.399999999994</v>
      </c>
      <c r="U104" s="170">
        <f t="shared" si="99"/>
        <v>26</v>
      </c>
      <c r="V104" s="170">
        <f t="shared" si="99"/>
        <v>59981.3</v>
      </c>
      <c r="W104" s="170">
        <f t="shared" si="99"/>
        <v>68027.11</v>
      </c>
      <c r="X104" s="170">
        <f t="shared" si="99"/>
        <v>9522.61</v>
      </c>
      <c r="Y104" s="170">
        <f t="shared" si="99"/>
        <v>8045.81</v>
      </c>
      <c r="Z104" s="170">
        <f t="shared" si="99"/>
        <v>3538.7438000000002</v>
      </c>
      <c r="AA104" s="170">
        <f t="shared" si="99"/>
        <v>-353.62849999999997</v>
      </c>
      <c r="AB104" s="170">
        <f t="shared" si="99"/>
        <v>2260.4</v>
      </c>
      <c r="AC104" s="170">
        <f t="shared" si="99"/>
        <v>2528</v>
      </c>
      <c r="AD104" s="170">
        <f t="shared" si="99"/>
        <v>2757</v>
      </c>
      <c r="AE104" s="170">
        <f t="shared" si="99"/>
        <v>33</v>
      </c>
      <c r="AF104" s="170">
        <f t="shared" si="99"/>
        <v>2428</v>
      </c>
      <c r="AG104" s="170">
        <f t="shared" si="99"/>
        <v>1393</v>
      </c>
      <c r="AH104" s="170">
        <f t="shared" si="99"/>
        <v>432</v>
      </c>
      <c r="AI104" s="170">
        <f t="shared" si="99"/>
        <v>961</v>
      </c>
      <c r="AJ104" s="170">
        <f t="shared" si="99"/>
        <v>2786</v>
      </c>
      <c r="AK104" s="170">
        <f t="shared" si="99"/>
        <v>525.6</v>
      </c>
      <c r="AL104" s="170">
        <f t="shared" ref="AL104:BQ104" si="100">SUM(AL80:AL103)</f>
        <v>358</v>
      </c>
      <c r="AM104" s="170">
        <f t="shared" si="100"/>
        <v>3900.5</v>
      </c>
      <c r="AN104" s="170">
        <f t="shared" si="100"/>
        <v>-274.39999999999998</v>
      </c>
      <c r="AO104" s="170">
        <f t="shared" si="100"/>
        <v>11736.09</v>
      </c>
      <c r="AP104" s="170">
        <f t="shared" si="100"/>
        <v>13142.25</v>
      </c>
      <c r="AQ104" s="170">
        <f t="shared" si="100"/>
        <v>14337</v>
      </c>
      <c r="AR104" s="170">
        <f t="shared" si="100"/>
        <v>33</v>
      </c>
      <c r="AS104" s="170">
        <f t="shared" si="100"/>
        <v>12271.86</v>
      </c>
      <c r="AT104" s="170">
        <f t="shared" si="100"/>
        <v>10256.74</v>
      </c>
      <c r="AU104" s="170">
        <f t="shared" si="100"/>
        <v>7995.14</v>
      </c>
      <c r="AV104" s="170">
        <f t="shared" si="100"/>
        <v>18251.88</v>
      </c>
      <c r="AW104" s="170">
        <f t="shared" si="100"/>
        <v>6515.79</v>
      </c>
      <c r="AX104" s="170">
        <f t="shared" si="100"/>
        <v>5980.02</v>
      </c>
      <c r="AY104" s="170">
        <f t="shared" si="100"/>
        <v>886.51819999999998</v>
      </c>
      <c r="AZ104" s="170">
        <f t="shared" si="100"/>
        <v>-45.589199999999998</v>
      </c>
      <c r="BA104" s="170">
        <f t="shared" si="100"/>
        <v>126685.311</v>
      </c>
      <c r="BB104" s="170">
        <f t="shared" si="100"/>
        <v>165638.84</v>
      </c>
      <c r="BC104" s="170">
        <f t="shared" si="100"/>
        <v>3124.66</v>
      </c>
      <c r="BD104" s="170">
        <f t="shared" si="100"/>
        <v>168763.5</v>
      </c>
      <c r="BE104" s="170">
        <f t="shared" si="100"/>
        <v>42078.189000000202</v>
      </c>
      <c r="BF104" s="170">
        <f t="shared" si="100"/>
        <v>16657.623800000001</v>
      </c>
      <c r="BG104" s="170">
        <f t="shared" si="100"/>
        <v>-497.62199999999802</v>
      </c>
      <c r="BH104" s="170">
        <f t="shared" si="100"/>
        <v>41218.92</v>
      </c>
      <c r="BI104" s="170">
        <f t="shared" si="100"/>
        <v>46128.455999999998</v>
      </c>
      <c r="BJ104" s="170">
        <f t="shared" si="100"/>
        <v>50321.951999999997</v>
      </c>
      <c r="BK104" s="170">
        <f t="shared" si="100"/>
        <v>32</v>
      </c>
      <c r="BL104" s="170">
        <f t="shared" si="100"/>
        <v>44776.12</v>
      </c>
      <c r="BM104" s="170">
        <f t="shared" si="100"/>
        <v>42594.67</v>
      </c>
      <c r="BN104" s="170">
        <f t="shared" si="100"/>
        <v>1375.75</v>
      </c>
      <c r="BO104" s="170">
        <f t="shared" si="100"/>
        <v>-2181.4499999999998</v>
      </c>
      <c r="BP104" s="170">
        <f t="shared" si="100"/>
        <v>8246.1574999999993</v>
      </c>
      <c r="BQ104" s="170">
        <f t="shared" si="100"/>
        <v>-472.54500000000002</v>
      </c>
      <c r="BR104" s="170">
        <f t="shared" ref="BR104:CG104" si="101">SUM(BR80:BR103)</f>
        <v>352233.054</v>
      </c>
      <c r="BS104" s="170">
        <f t="shared" si="101"/>
        <v>393840.37439999997</v>
      </c>
      <c r="BT104" s="170">
        <f t="shared" si="101"/>
        <v>429644.04479999997</v>
      </c>
      <c r="BU104" s="170">
        <f t="shared" si="101"/>
        <v>30</v>
      </c>
      <c r="BV104" s="170">
        <f t="shared" si="101"/>
        <v>376888.6764</v>
      </c>
      <c r="BW104" s="170">
        <f t="shared" si="101"/>
        <v>367220.18</v>
      </c>
      <c r="BX104" s="170">
        <f t="shared" si="101"/>
        <v>14987.126</v>
      </c>
      <c r="BY104" s="170">
        <f t="shared" si="101"/>
        <v>-9668.4964000000109</v>
      </c>
      <c r="BZ104" s="170">
        <f t="shared" si="101"/>
        <v>31603.774000000001</v>
      </c>
      <c r="CA104" s="170">
        <f t="shared" si="101"/>
        <v>-2213.7865000000002</v>
      </c>
      <c r="CB104" s="170">
        <f t="shared" si="101"/>
        <v>66062.4283</v>
      </c>
      <c r="CC104" s="170">
        <f t="shared" si="101"/>
        <v>23.678416670115801</v>
      </c>
      <c r="CD104" s="170">
        <f t="shared" si="101"/>
        <v>64402.333448205798</v>
      </c>
      <c r="CE104" s="170">
        <f t="shared" si="101"/>
        <v>64402.32</v>
      </c>
      <c r="CF104" s="170">
        <f t="shared" si="101"/>
        <v>-4129.7012000000004</v>
      </c>
      <c r="CG104" s="170">
        <f t="shared" si="101"/>
        <v>-3817.1</v>
      </c>
      <c r="CH104" s="153"/>
      <c r="CI104" s="153"/>
      <c r="CJ104" s="153"/>
      <c r="CK104" s="153"/>
      <c r="CL104" s="153"/>
      <c r="CM104" s="153"/>
      <c r="CN104" s="153"/>
      <c r="CO104" s="153"/>
      <c r="CP104" s="153"/>
      <c r="CQ104" s="153"/>
      <c r="CR104" s="153"/>
      <c r="CS104" s="153"/>
      <c r="CT104" s="153"/>
      <c r="CU104" s="153"/>
      <c r="CV104" s="153"/>
      <c r="CW104" s="153"/>
      <c r="CX104" s="153"/>
      <c r="CY104" s="153"/>
      <c r="CZ104" s="153"/>
      <c r="DA104" s="153"/>
      <c r="DB104" s="153"/>
      <c r="DC104" s="153"/>
      <c r="DD104" s="153"/>
      <c r="DE104" s="153"/>
      <c r="DF104" s="153"/>
      <c r="DG104" s="153"/>
      <c r="DH104" s="153"/>
      <c r="DI104" s="153"/>
      <c r="DJ104" s="153"/>
      <c r="DK104" s="153"/>
      <c r="DL104" s="153"/>
      <c r="DM104" s="153"/>
      <c r="DN104" s="153"/>
      <c r="DO104" s="153"/>
      <c r="DP104" s="153"/>
      <c r="DQ104" s="153"/>
      <c r="DR104" s="153"/>
      <c r="DS104" s="153"/>
      <c r="DT104" s="153"/>
      <c r="DU104" s="153"/>
      <c r="DV104" s="153"/>
      <c r="DW104" s="153"/>
      <c r="DX104" s="153"/>
      <c r="DY104" s="153"/>
      <c r="DZ104" s="153"/>
      <c r="EA104" s="153"/>
      <c r="EB104" s="153"/>
      <c r="EC104" s="153"/>
      <c r="ED104" s="153"/>
      <c r="EE104" s="153"/>
      <c r="EF104" s="153"/>
      <c r="EG104" s="153"/>
      <c r="EH104" s="153"/>
      <c r="EI104" s="153"/>
      <c r="EJ104" s="153"/>
      <c r="EK104" s="153"/>
      <c r="EL104" s="153"/>
      <c r="EM104" s="153"/>
      <c r="EN104" s="153"/>
      <c r="EO104" s="153"/>
      <c r="EP104" s="153"/>
      <c r="EQ104" s="153"/>
      <c r="ER104" s="153"/>
      <c r="ES104" s="153"/>
      <c r="ET104" s="153"/>
      <c r="EU104" s="153"/>
      <c r="EV104" s="153"/>
      <c r="EW104" s="153"/>
      <c r="EX104" s="153"/>
      <c r="EY104" s="153"/>
      <c r="EZ104" s="153"/>
      <c r="FA104" s="153"/>
      <c r="FB104" s="153"/>
      <c r="FC104" s="153"/>
      <c r="FD104" s="153"/>
      <c r="FE104" s="153"/>
      <c r="FF104" s="153"/>
      <c r="FG104" s="153"/>
      <c r="FH104" s="153"/>
      <c r="FI104" s="153"/>
      <c r="FJ104" s="153"/>
      <c r="FK104" s="153"/>
    </row>
    <row r="105" spans="1:213" ht="12.95" customHeight="1">
      <c r="A105" s="172"/>
      <c r="B105" s="172"/>
      <c r="C105" s="172"/>
      <c r="D105" s="172" t="s">
        <v>146</v>
      </c>
      <c r="E105" s="172">
        <f>E20+E36+E56+E77+E79+E104</f>
        <v>264</v>
      </c>
      <c r="F105" s="172">
        <f t="shared" ref="F105:AK105" si="102">F20+F36+F56+F77+F79+F104</f>
        <v>355</v>
      </c>
      <c r="G105" s="172">
        <f t="shared" si="102"/>
        <v>448</v>
      </c>
      <c r="H105" s="172">
        <f t="shared" si="102"/>
        <v>125</v>
      </c>
      <c r="I105" s="172">
        <f t="shared" si="102"/>
        <v>288</v>
      </c>
      <c r="J105" s="172">
        <f t="shared" si="102"/>
        <v>184.78790000000001</v>
      </c>
      <c r="K105" s="172">
        <f t="shared" si="102"/>
        <v>41.7879</v>
      </c>
      <c r="L105" s="172">
        <f t="shared" si="102"/>
        <v>104</v>
      </c>
      <c r="M105" s="172">
        <f t="shared" si="102"/>
        <v>22.98</v>
      </c>
      <c r="N105" s="172">
        <f t="shared" si="102"/>
        <v>-79.212100000000007</v>
      </c>
      <c r="O105" s="172">
        <f t="shared" si="102"/>
        <v>-103.21210000000001</v>
      </c>
      <c r="P105" s="172">
        <f t="shared" si="102"/>
        <v>6036.5510000000004</v>
      </c>
      <c r="Q105" s="172">
        <f t="shared" si="102"/>
        <v>-1888.13</v>
      </c>
      <c r="R105" s="172">
        <f t="shared" si="102"/>
        <v>245690</v>
      </c>
      <c r="S105" s="172">
        <f t="shared" si="102"/>
        <v>270259.20000000001</v>
      </c>
      <c r="T105" s="172">
        <f t="shared" si="102"/>
        <v>294828.40000000002</v>
      </c>
      <c r="U105" s="172">
        <f t="shared" si="102"/>
        <v>160</v>
      </c>
      <c r="V105" s="172">
        <f t="shared" si="102"/>
        <v>262714.09999999998</v>
      </c>
      <c r="W105" s="172">
        <f t="shared" si="102"/>
        <v>281208.62</v>
      </c>
      <c r="X105" s="172">
        <f t="shared" si="102"/>
        <v>35518.620000000003</v>
      </c>
      <c r="Y105" s="172">
        <f t="shared" si="102"/>
        <v>18494.52</v>
      </c>
      <c r="Z105" s="172">
        <f t="shared" si="102"/>
        <v>18625.863099999999</v>
      </c>
      <c r="AA105" s="172">
        <f t="shared" si="102"/>
        <v>-1582.1034999999999</v>
      </c>
      <c r="AB105" s="172">
        <f t="shared" si="102"/>
        <v>9187.4</v>
      </c>
      <c r="AC105" s="172">
        <f t="shared" si="102"/>
        <v>10153</v>
      </c>
      <c r="AD105" s="172">
        <f t="shared" si="102"/>
        <v>11077</v>
      </c>
      <c r="AE105" s="172">
        <f t="shared" si="102"/>
        <v>174</v>
      </c>
      <c r="AF105" s="172">
        <f t="shared" si="102"/>
        <v>10150.766666666699</v>
      </c>
      <c r="AG105" s="172">
        <f t="shared" si="102"/>
        <v>5854</v>
      </c>
      <c r="AH105" s="172">
        <f t="shared" si="102"/>
        <v>1399</v>
      </c>
      <c r="AI105" s="172">
        <f t="shared" si="102"/>
        <v>5781</v>
      </c>
      <c r="AJ105" s="172">
        <f t="shared" si="102"/>
        <v>13034</v>
      </c>
      <c r="AK105" s="172">
        <f t="shared" si="102"/>
        <v>3846.6</v>
      </c>
      <c r="AL105" s="172">
        <f t="shared" ref="AL105:BQ105" si="103">AL20+AL36+AL56+AL77+AL79+AL104</f>
        <v>2883.2333333333299</v>
      </c>
      <c r="AM105" s="172">
        <f t="shared" si="103"/>
        <v>28502.5</v>
      </c>
      <c r="AN105" s="172">
        <f t="shared" si="103"/>
        <v>-671.4</v>
      </c>
      <c r="AO105" s="172">
        <f t="shared" si="103"/>
        <v>49625.04</v>
      </c>
      <c r="AP105" s="172">
        <f t="shared" si="103"/>
        <v>54819.495000000003</v>
      </c>
      <c r="AQ105" s="172">
        <f t="shared" si="103"/>
        <v>59803.898333333302</v>
      </c>
      <c r="AR105" s="172">
        <f t="shared" si="103"/>
        <v>169</v>
      </c>
      <c r="AS105" s="172">
        <f t="shared" si="103"/>
        <v>53053.168333333299</v>
      </c>
      <c r="AT105" s="172">
        <f t="shared" si="103"/>
        <v>37989.79</v>
      </c>
      <c r="AU105" s="172">
        <f t="shared" si="103"/>
        <v>24936.32</v>
      </c>
      <c r="AV105" s="172">
        <f t="shared" si="103"/>
        <v>62812.11</v>
      </c>
      <c r="AW105" s="172">
        <f t="shared" si="103"/>
        <v>13187.07</v>
      </c>
      <c r="AX105" s="172">
        <f t="shared" si="103"/>
        <v>9758.9416666666693</v>
      </c>
      <c r="AY105" s="172">
        <f t="shared" si="103"/>
        <v>2937.0050000000001</v>
      </c>
      <c r="AZ105" s="172">
        <f t="shared" si="103"/>
        <v>-362.80360000000002</v>
      </c>
      <c r="BA105" s="172">
        <f t="shared" si="103"/>
        <v>599315.83671428601</v>
      </c>
      <c r="BB105" s="172">
        <f t="shared" si="103"/>
        <v>691849.9</v>
      </c>
      <c r="BC105" s="172">
        <f t="shared" si="103"/>
        <v>22814.99</v>
      </c>
      <c r="BD105" s="172">
        <f t="shared" si="103"/>
        <v>714664.89</v>
      </c>
      <c r="BE105" s="172">
        <f t="shared" si="103"/>
        <v>115349.053285715</v>
      </c>
      <c r="BF105" s="172">
        <f t="shared" si="103"/>
        <v>69869.439700000003</v>
      </c>
      <c r="BG105" s="172">
        <f t="shared" si="103"/>
        <v>-3439.90414285714</v>
      </c>
      <c r="BH105" s="172">
        <f t="shared" si="103"/>
        <v>165267.48000000001</v>
      </c>
      <c r="BI105" s="172">
        <f t="shared" si="103"/>
        <v>182581.772</v>
      </c>
      <c r="BJ105" s="172">
        <f t="shared" si="103"/>
        <v>199180.024</v>
      </c>
      <c r="BK105" s="172">
        <f t="shared" si="103"/>
        <v>176</v>
      </c>
      <c r="BL105" s="172">
        <f t="shared" si="103"/>
        <v>181131.31</v>
      </c>
      <c r="BM105" s="172">
        <f t="shared" si="103"/>
        <v>172192.07</v>
      </c>
      <c r="BN105" s="172">
        <f t="shared" si="103"/>
        <v>6924.59</v>
      </c>
      <c r="BO105" s="172">
        <f t="shared" si="103"/>
        <v>-8939.24</v>
      </c>
      <c r="BP105" s="172">
        <f t="shared" si="103"/>
        <v>35859.275999999998</v>
      </c>
      <c r="BQ105" s="172">
        <f t="shared" si="103"/>
        <v>-2304.4025000000001</v>
      </c>
      <c r="BR105" s="172">
        <f t="shared" ref="BR105:CG105" si="104">BR20+BR36+BR56+BR77+BR79+BR104</f>
        <v>1532630.2807199999</v>
      </c>
      <c r="BS105" s="172">
        <f t="shared" si="104"/>
        <v>1691456.4437919999</v>
      </c>
      <c r="BT105" s="172">
        <f t="shared" si="104"/>
        <v>1844742.382464</v>
      </c>
      <c r="BU105" s="172">
        <f t="shared" si="104"/>
        <v>180</v>
      </c>
      <c r="BV105" s="172">
        <f t="shared" si="104"/>
        <v>1679732.274864</v>
      </c>
      <c r="BW105" s="172">
        <f t="shared" si="104"/>
        <v>1578390.52</v>
      </c>
      <c r="BX105" s="172">
        <f t="shared" si="104"/>
        <v>45760.239280000002</v>
      </c>
      <c r="BY105" s="172">
        <f t="shared" si="104"/>
        <v>-101341.754864</v>
      </c>
      <c r="BZ105" s="172">
        <f t="shared" si="104"/>
        <v>144587.14679999999</v>
      </c>
      <c r="CA105" s="172">
        <f t="shared" si="104"/>
        <v>-8314.8014999999996</v>
      </c>
      <c r="CB105" s="172">
        <f t="shared" si="104"/>
        <v>306417.78159999999</v>
      </c>
      <c r="CC105" s="172">
        <f t="shared" si="104"/>
        <v>91.603575989683804</v>
      </c>
      <c r="CD105" s="172">
        <f t="shared" si="104"/>
        <v>297592.06704931898</v>
      </c>
      <c r="CE105" s="172">
        <f t="shared" si="104"/>
        <v>296850.28999999998</v>
      </c>
      <c r="CF105" s="172">
        <f t="shared" si="104"/>
        <v>-18563.545242857101</v>
      </c>
      <c r="CG105" s="172">
        <f t="shared" si="104"/>
        <v>-18250.95</v>
      </c>
    </row>
  </sheetData>
  <mergeCells count="7">
    <mergeCell ref="BH1:BQ1"/>
    <mergeCell ref="BR1:CA1"/>
    <mergeCell ref="E1:Q1"/>
    <mergeCell ref="R1:AA1"/>
    <mergeCell ref="AB1:AN1"/>
    <mergeCell ref="AO1:AZ1"/>
    <mergeCell ref="BA1:BG1"/>
  </mergeCells>
  <phoneticPr fontId="14" type="noConversion"/>
  <pageMargins left="0.75" right="0.75" top="1" bottom="1" header="0.50902777777777797" footer="0.50902777777777797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5"/>
  <sheetViews>
    <sheetView tabSelected="1" topLeftCell="C160" workbookViewId="0">
      <selection activeCell="E21" sqref="E21:E41"/>
    </sheetView>
  </sheetViews>
  <sheetFormatPr defaultColWidth="9" defaultRowHeight="15" customHeight="1"/>
  <cols>
    <col min="1" max="1" width="9" style="60"/>
    <col min="2" max="3" width="9" style="33"/>
    <col min="4" max="4" width="9" style="33" customWidth="1"/>
    <col min="5" max="5" width="21.75" style="33" customWidth="1"/>
    <col min="6" max="6" width="31.125" style="64" customWidth="1"/>
    <col min="7" max="7" width="23.875" style="64" customWidth="1"/>
    <col min="8" max="8" width="41" style="65" customWidth="1"/>
    <col min="9" max="9" width="5.75" style="33" customWidth="1"/>
    <col min="10" max="256" width="9" style="64"/>
    <col min="257" max="16384" width="9" style="4"/>
  </cols>
  <sheetData>
    <row r="1" spans="1:9" s="63" customFormat="1" ht="42.95" customHeight="1">
      <c r="A1" s="123" t="s">
        <v>147</v>
      </c>
      <c r="B1" s="123" t="s">
        <v>148</v>
      </c>
      <c r="C1" s="123" t="s">
        <v>149</v>
      </c>
      <c r="D1" s="123"/>
      <c r="E1" s="123"/>
      <c r="F1" s="123" t="s">
        <v>150</v>
      </c>
      <c r="G1" s="123" t="s">
        <v>151</v>
      </c>
      <c r="H1" s="123" t="s">
        <v>152</v>
      </c>
      <c r="I1" s="123" t="s">
        <v>153</v>
      </c>
    </row>
    <row r="2" spans="1:9" ht="15" customHeight="1">
      <c r="A2" s="70" t="s">
        <v>154</v>
      </c>
      <c r="B2" s="7" t="s">
        <v>155</v>
      </c>
      <c r="C2" s="73">
        <v>115733</v>
      </c>
      <c r="D2" s="73" t="s">
        <v>156</v>
      </c>
      <c r="E2" s="73" t="str">
        <f t="shared" ref="E2:E41" si="0">C2&amp;D2</f>
        <v>115733,</v>
      </c>
      <c r="F2" s="72" t="s">
        <v>157</v>
      </c>
      <c r="G2" s="72" t="s">
        <v>158</v>
      </c>
      <c r="H2" s="72" t="s">
        <v>159</v>
      </c>
      <c r="I2" s="73" t="s">
        <v>160</v>
      </c>
    </row>
    <row r="3" spans="1:9" s="64" customFormat="1" ht="15" customHeight="1">
      <c r="A3" s="267" t="s">
        <v>161</v>
      </c>
      <c r="B3" s="273" t="s">
        <v>162</v>
      </c>
      <c r="C3" s="73">
        <v>84174</v>
      </c>
      <c r="D3" s="73" t="s">
        <v>156</v>
      </c>
      <c r="E3" s="73" t="str">
        <f t="shared" si="0"/>
        <v>84174,</v>
      </c>
      <c r="F3" s="72" t="s">
        <v>163</v>
      </c>
      <c r="G3" s="72" t="s">
        <v>164</v>
      </c>
      <c r="H3" s="72" t="s">
        <v>165</v>
      </c>
      <c r="I3" s="73"/>
    </row>
    <row r="4" spans="1:9" s="64" customFormat="1" ht="15" customHeight="1">
      <c r="A4" s="267"/>
      <c r="B4" s="273"/>
      <c r="C4" s="73">
        <v>21580</v>
      </c>
      <c r="D4" s="73" t="s">
        <v>156</v>
      </c>
      <c r="E4" s="73" t="str">
        <f t="shared" si="0"/>
        <v>21580,</v>
      </c>
      <c r="F4" s="72" t="s">
        <v>166</v>
      </c>
      <c r="G4" s="72" t="s">
        <v>167</v>
      </c>
      <c r="H4" s="72" t="s">
        <v>168</v>
      </c>
      <c r="I4" s="73" t="s">
        <v>160</v>
      </c>
    </row>
    <row r="5" spans="1:9" s="64" customFormat="1" ht="15" customHeight="1">
      <c r="A5" s="267"/>
      <c r="B5" s="273"/>
      <c r="C5" s="78">
        <v>166880</v>
      </c>
      <c r="D5" s="73" t="s">
        <v>156</v>
      </c>
      <c r="E5" s="73" t="str">
        <f t="shared" si="0"/>
        <v>166880,</v>
      </c>
      <c r="F5" s="77" t="s">
        <v>169</v>
      </c>
      <c r="G5" s="77" t="s">
        <v>170</v>
      </c>
      <c r="H5" s="77" t="s">
        <v>171</v>
      </c>
      <c r="I5" s="78" t="s">
        <v>160</v>
      </c>
    </row>
    <row r="6" spans="1:9" s="64" customFormat="1" ht="15" customHeight="1">
      <c r="A6" s="267"/>
      <c r="B6" s="273"/>
      <c r="C6" s="78">
        <v>40226</v>
      </c>
      <c r="D6" s="73" t="s">
        <v>156</v>
      </c>
      <c r="E6" s="73" t="str">
        <f t="shared" si="0"/>
        <v>40226,</v>
      </c>
      <c r="F6" s="77" t="s">
        <v>169</v>
      </c>
      <c r="G6" s="77" t="s">
        <v>172</v>
      </c>
      <c r="H6" s="77" t="s">
        <v>171</v>
      </c>
      <c r="I6" s="78" t="s">
        <v>173</v>
      </c>
    </row>
    <row r="7" spans="1:9" s="4" customFormat="1" ht="15" customHeight="1">
      <c r="A7" s="268"/>
      <c r="B7" s="274"/>
      <c r="C7" s="78">
        <v>133360</v>
      </c>
      <c r="D7" s="73" t="s">
        <v>156</v>
      </c>
      <c r="E7" s="73" t="str">
        <f t="shared" si="0"/>
        <v>133360,</v>
      </c>
      <c r="F7" s="124" t="s">
        <v>174</v>
      </c>
      <c r="G7" s="77"/>
      <c r="H7" s="76"/>
      <c r="I7" s="78"/>
    </row>
    <row r="8" spans="1:9" s="4" customFormat="1" ht="15" customHeight="1">
      <c r="A8" s="75"/>
      <c r="B8" s="114"/>
      <c r="C8" s="79">
        <v>75138</v>
      </c>
      <c r="D8" s="73" t="s">
        <v>156</v>
      </c>
      <c r="E8" s="73" t="str">
        <f t="shared" si="0"/>
        <v>75138,</v>
      </c>
      <c r="F8" s="80" t="s">
        <v>175</v>
      </c>
      <c r="G8" s="80" t="s">
        <v>176</v>
      </c>
      <c r="H8" s="80" t="s">
        <v>177</v>
      </c>
      <c r="I8" s="82" t="s">
        <v>160</v>
      </c>
    </row>
    <row r="9" spans="1:9" s="4" customFormat="1" ht="15" customHeight="1">
      <c r="A9" s="75"/>
      <c r="B9" s="114"/>
      <c r="C9" s="125">
        <v>164949</v>
      </c>
      <c r="D9" s="73" t="s">
        <v>156</v>
      </c>
      <c r="E9" s="73" t="str">
        <f t="shared" si="0"/>
        <v>164949,</v>
      </c>
      <c r="F9" s="77" t="s">
        <v>175</v>
      </c>
      <c r="G9" s="77" t="s">
        <v>176</v>
      </c>
      <c r="H9" s="77" t="s">
        <v>178</v>
      </c>
      <c r="I9" s="78" t="s">
        <v>160</v>
      </c>
    </row>
    <row r="10" spans="1:9" s="4" customFormat="1" ht="15" customHeight="1">
      <c r="A10" s="75"/>
      <c r="B10" s="114"/>
      <c r="C10" s="76">
        <v>31440</v>
      </c>
      <c r="D10" s="73" t="s">
        <v>156</v>
      </c>
      <c r="E10" s="73" t="str">
        <f t="shared" si="0"/>
        <v>31440,</v>
      </c>
      <c r="F10" s="77" t="s">
        <v>179</v>
      </c>
      <c r="G10" s="77" t="s">
        <v>180</v>
      </c>
      <c r="H10" s="72" t="s">
        <v>181</v>
      </c>
      <c r="I10" s="78" t="s">
        <v>160</v>
      </c>
    </row>
    <row r="11" spans="1:9" ht="15" customHeight="1">
      <c r="A11" s="269" t="s">
        <v>182</v>
      </c>
      <c r="B11" s="275" t="s">
        <v>155</v>
      </c>
      <c r="C11" s="73">
        <v>118954</v>
      </c>
      <c r="D11" s="73" t="s">
        <v>156</v>
      </c>
      <c r="E11" s="73" t="str">
        <f t="shared" si="0"/>
        <v>118954,</v>
      </c>
      <c r="F11" s="72" t="s">
        <v>183</v>
      </c>
      <c r="G11" s="72" t="s">
        <v>184</v>
      </c>
      <c r="H11" s="72" t="s">
        <v>185</v>
      </c>
      <c r="I11" s="73" t="s">
        <v>160</v>
      </c>
    </row>
    <row r="12" spans="1:9" ht="15" customHeight="1">
      <c r="A12" s="267"/>
      <c r="B12" s="273"/>
      <c r="C12" s="73">
        <v>136714</v>
      </c>
      <c r="D12" s="73" t="s">
        <v>156</v>
      </c>
      <c r="E12" s="73" t="str">
        <f t="shared" si="0"/>
        <v>136714,</v>
      </c>
      <c r="F12" s="72" t="s">
        <v>186</v>
      </c>
      <c r="G12" s="72" t="s">
        <v>187</v>
      </c>
      <c r="H12" s="72" t="s">
        <v>188</v>
      </c>
      <c r="I12" s="73" t="s">
        <v>160</v>
      </c>
    </row>
    <row r="13" spans="1:9" ht="15" customHeight="1">
      <c r="A13" s="267"/>
      <c r="B13" s="273"/>
      <c r="C13" s="73">
        <v>104690</v>
      </c>
      <c r="D13" s="73" t="s">
        <v>156</v>
      </c>
      <c r="E13" s="73" t="str">
        <f t="shared" si="0"/>
        <v>104690,</v>
      </c>
      <c r="F13" s="72" t="s">
        <v>189</v>
      </c>
      <c r="G13" s="126" t="s">
        <v>190</v>
      </c>
      <c r="H13" s="126" t="s">
        <v>171</v>
      </c>
      <c r="I13" s="73"/>
    </row>
    <row r="14" spans="1:9" ht="15" customHeight="1">
      <c r="A14" s="267"/>
      <c r="B14" s="273"/>
      <c r="C14" s="78">
        <v>48831</v>
      </c>
      <c r="D14" s="73" t="s">
        <v>156</v>
      </c>
      <c r="E14" s="73" t="str">
        <f t="shared" si="0"/>
        <v>48831,</v>
      </c>
      <c r="F14" s="124" t="s">
        <v>191</v>
      </c>
      <c r="G14" s="81" t="s">
        <v>192</v>
      </c>
      <c r="H14" s="72" t="s">
        <v>193</v>
      </c>
      <c r="I14" s="73" t="s">
        <v>160</v>
      </c>
    </row>
    <row r="15" spans="1:9" ht="15" customHeight="1">
      <c r="A15" s="268"/>
      <c r="B15" s="274"/>
      <c r="C15" s="78">
        <v>117255</v>
      </c>
      <c r="D15" s="73" t="s">
        <v>156</v>
      </c>
      <c r="E15" s="73" t="str">
        <f t="shared" si="0"/>
        <v>117255,</v>
      </c>
      <c r="F15" s="77" t="s">
        <v>194</v>
      </c>
      <c r="G15" s="83"/>
      <c r="H15" s="76"/>
      <c r="I15" s="78"/>
    </row>
    <row r="16" spans="1:9" ht="15" customHeight="1">
      <c r="A16" s="75"/>
      <c r="B16" s="114"/>
      <c r="C16" s="78">
        <v>160637</v>
      </c>
      <c r="D16" s="73" t="s">
        <v>156</v>
      </c>
      <c r="E16" s="73" t="str">
        <f t="shared" si="0"/>
        <v>160637,</v>
      </c>
      <c r="F16" s="80" t="s">
        <v>195</v>
      </c>
      <c r="G16" s="80" t="s">
        <v>176</v>
      </c>
      <c r="H16" s="81" t="s">
        <v>196</v>
      </c>
      <c r="I16" s="81" t="s">
        <v>173</v>
      </c>
    </row>
    <row r="17" spans="1:9" ht="15" customHeight="1">
      <c r="A17" s="270" t="s">
        <v>197</v>
      </c>
      <c r="B17" s="270" t="s">
        <v>162</v>
      </c>
      <c r="C17" s="78">
        <v>75028</v>
      </c>
      <c r="D17" s="73" t="s">
        <v>156</v>
      </c>
      <c r="E17" s="73" t="str">
        <f t="shared" si="0"/>
        <v>75028,</v>
      </c>
      <c r="F17" s="76" t="s">
        <v>198</v>
      </c>
      <c r="G17" s="77" t="s">
        <v>199</v>
      </c>
      <c r="H17" s="76" t="s">
        <v>200</v>
      </c>
      <c r="I17" s="78" t="s">
        <v>160</v>
      </c>
    </row>
    <row r="18" spans="1:9" ht="15" customHeight="1">
      <c r="A18" s="271"/>
      <c r="B18" s="276"/>
      <c r="C18" s="78">
        <v>171872</v>
      </c>
      <c r="D18" s="73" t="s">
        <v>156</v>
      </c>
      <c r="E18" s="73" t="str">
        <f t="shared" si="0"/>
        <v>171872,</v>
      </c>
      <c r="F18" s="72" t="s">
        <v>201</v>
      </c>
      <c r="G18" s="77" t="s">
        <v>202</v>
      </c>
      <c r="H18" s="72" t="s">
        <v>203</v>
      </c>
      <c r="I18" s="73" t="s">
        <v>160</v>
      </c>
    </row>
    <row r="19" spans="1:9" s="4" customFormat="1" ht="15" customHeight="1">
      <c r="A19" s="70" t="s">
        <v>204</v>
      </c>
      <c r="B19" s="271"/>
      <c r="C19" s="78">
        <v>134798</v>
      </c>
      <c r="D19" s="73" t="s">
        <v>156</v>
      </c>
      <c r="E19" s="73" t="str">
        <f t="shared" si="0"/>
        <v>134798,</v>
      </c>
      <c r="F19" s="77" t="s">
        <v>32</v>
      </c>
      <c r="G19" s="77" t="s">
        <v>205</v>
      </c>
      <c r="H19" s="76" t="s">
        <v>206</v>
      </c>
      <c r="I19" s="78" t="s">
        <v>160</v>
      </c>
    </row>
    <row r="20" spans="1:9" ht="15" customHeight="1">
      <c r="A20" s="70" t="s">
        <v>4</v>
      </c>
      <c r="B20" s="7" t="s">
        <v>162</v>
      </c>
      <c r="C20" s="73">
        <v>47683</v>
      </c>
      <c r="D20" s="73" t="s">
        <v>156</v>
      </c>
      <c r="E20" s="73" t="str">
        <f t="shared" si="0"/>
        <v>47683,</v>
      </c>
      <c r="F20" s="72" t="s">
        <v>207</v>
      </c>
      <c r="G20" s="72" t="s">
        <v>208</v>
      </c>
      <c r="H20" s="72" t="s">
        <v>168</v>
      </c>
      <c r="I20" s="73" t="s">
        <v>160</v>
      </c>
    </row>
    <row r="21" spans="1:9" ht="15" customHeight="1">
      <c r="A21" s="272" t="s">
        <v>209</v>
      </c>
      <c r="B21" s="277" t="s">
        <v>162</v>
      </c>
      <c r="C21" s="102">
        <v>105219</v>
      </c>
      <c r="D21" s="73" t="s">
        <v>156</v>
      </c>
      <c r="E21" s="73" t="str">
        <f t="shared" si="0"/>
        <v>105219,</v>
      </c>
      <c r="F21" s="124" t="s">
        <v>210</v>
      </c>
      <c r="G21" s="81" t="s">
        <v>211</v>
      </c>
      <c r="H21" s="72" t="s">
        <v>212</v>
      </c>
      <c r="I21" s="73"/>
    </row>
    <row r="22" spans="1:9" ht="15" customHeight="1">
      <c r="A22" s="272"/>
      <c r="B22" s="277"/>
      <c r="C22" s="102">
        <v>117372</v>
      </c>
      <c r="D22" s="73" t="s">
        <v>156</v>
      </c>
      <c r="E22" s="73" t="str">
        <f t="shared" si="0"/>
        <v>117372,</v>
      </c>
      <c r="F22" s="124" t="s">
        <v>213</v>
      </c>
      <c r="G22" s="81" t="s">
        <v>214</v>
      </c>
      <c r="H22" s="72" t="s">
        <v>212</v>
      </c>
      <c r="I22" s="73"/>
    </row>
    <row r="23" spans="1:9" ht="15" customHeight="1">
      <c r="A23" s="272"/>
      <c r="B23" s="277"/>
      <c r="C23" s="102">
        <v>105293</v>
      </c>
      <c r="D23" s="73" t="s">
        <v>156</v>
      </c>
      <c r="E23" s="73" t="str">
        <f t="shared" si="0"/>
        <v>105293,</v>
      </c>
      <c r="F23" s="124" t="s">
        <v>215</v>
      </c>
      <c r="G23" s="81" t="s">
        <v>216</v>
      </c>
      <c r="H23" s="72" t="s">
        <v>212</v>
      </c>
      <c r="I23" s="73" t="s">
        <v>173</v>
      </c>
    </row>
    <row r="24" spans="1:9" ht="15" customHeight="1">
      <c r="A24" s="272"/>
      <c r="B24" s="277"/>
      <c r="C24" s="102">
        <v>105315</v>
      </c>
      <c r="D24" s="73" t="s">
        <v>156</v>
      </c>
      <c r="E24" s="73" t="str">
        <f t="shared" si="0"/>
        <v>105315,</v>
      </c>
      <c r="F24" s="124" t="s">
        <v>217</v>
      </c>
      <c r="G24" s="81" t="s">
        <v>218</v>
      </c>
      <c r="H24" s="72" t="s">
        <v>212</v>
      </c>
      <c r="I24" s="73" t="s">
        <v>160</v>
      </c>
    </row>
    <row r="25" spans="1:9" ht="15" customHeight="1">
      <c r="A25" s="272"/>
      <c r="B25" s="277"/>
      <c r="C25" s="102">
        <v>105233</v>
      </c>
      <c r="D25" s="73" t="s">
        <v>156</v>
      </c>
      <c r="E25" s="73" t="str">
        <f t="shared" si="0"/>
        <v>105233,</v>
      </c>
      <c r="F25" s="124" t="s">
        <v>219</v>
      </c>
      <c r="G25" s="81" t="s">
        <v>220</v>
      </c>
      <c r="H25" s="72" t="s">
        <v>212</v>
      </c>
      <c r="I25" s="73" t="s">
        <v>173</v>
      </c>
    </row>
    <row r="26" spans="1:9" ht="15" customHeight="1">
      <c r="A26" s="272"/>
      <c r="B26" s="277"/>
      <c r="C26" s="102">
        <v>105229</v>
      </c>
      <c r="D26" s="73" t="s">
        <v>156</v>
      </c>
      <c r="E26" s="73" t="str">
        <f t="shared" si="0"/>
        <v>105229,</v>
      </c>
      <c r="F26" s="124" t="s">
        <v>221</v>
      </c>
      <c r="G26" s="81" t="s">
        <v>222</v>
      </c>
      <c r="H26" s="72" t="s">
        <v>212</v>
      </c>
      <c r="I26" s="73" t="s">
        <v>173</v>
      </c>
    </row>
    <row r="27" spans="1:9" ht="15" customHeight="1">
      <c r="A27" s="272"/>
      <c r="B27" s="277"/>
      <c r="C27" s="102">
        <v>106918</v>
      </c>
      <c r="D27" s="73" t="s">
        <v>156</v>
      </c>
      <c r="E27" s="73" t="str">
        <f t="shared" si="0"/>
        <v>106918,</v>
      </c>
      <c r="F27" s="124" t="s">
        <v>223</v>
      </c>
      <c r="G27" s="81" t="s">
        <v>224</v>
      </c>
      <c r="H27" s="72" t="s">
        <v>212</v>
      </c>
      <c r="I27" s="73" t="s">
        <v>160</v>
      </c>
    </row>
    <row r="28" spans="1:9" ht="15" customHeight="1">
      <c r="A28" s="272"/>
      <c r="B28" s="277"/>
      <c r="C28" s="102">
        <v>105226</v>
      </c>
      <c r="D28" s="73" t="s">
        <v>156</v>
      </c>
      <c r="E28" s="73" t="str">
        <f t="shared" si="0"/>
        <v>105226,</v>
      </c>
      <c r="F28" s="124" t="s">
        <v>225</v>
      </c>
      <c r="G28" s="81" t="s">
        <v>226</v>
      </c>
      <c r="H28" s="72" t="s">
        <v>212</v>
      </c>
      <c r="I28" s="73" t="s">
        <v>160</v>
      </c>
    </row>
    <row r="29" spans="1:9" ht="15" customHeight="1">
      <c r="A29" s="272"/>
      <c r="B29" s="277"/>
      <c r="C29" s="102">
        <v>117370</v>
      </c>
      <c r="D29" s="73" t="s">
        <v>156</v>
      </c>
      <c r="E29" s="73" t="str">
        <f t="shared" si="0"/>
        <v>117370,</v>
      </c>
      <c r="F29" s="124" t="s">
        <v>227</v>
      </c>
      <c r="G29" s="81" t="s">
        <v>228</v>
      </c>
      <c r="H29" s="72" t="s">
        <v>212</v>
      </c>
      <c r="I29" s="73" t="s">
        <v>160</v>
      </c>
    </row>
    <row r="30" spans="1:9" ht="15" customHeight="1">
      <c r="A30" s="272"/>
      <c r="B30" s="277"/>
      <c r="C30" s="102">
        <v>117371</v>
      </c>
      <c r="D30" s="73" t="s">
        <v>156</v>
      </c>
      <c r="E30" s="73" t="str">
        <f t="shared" si="0"/>
        <v>117371,</v>
      </c>
      <c r="F30" s="124" t="s">
        <v>229</v>
      </c>
      <c r="G30" s="81" t="s">
        <v>226</v>
      </c>
      <c r="H30" s="72" t="s">
        <v>212</v>
      </c>
      <c r="I30" s="73" t="s">
        <v>160</v>
      </c>
    </row>
    <row r="31" spans="1:9" ht="15" customHeight="1">
      <c r="A31" s="272"/>
      <c r="B31" s="277"/>
      <c r="C31" s="102">
        <v>105276</v>
      </c>
      <c r="D31" s="73" t="s">
        <v>156</v>
      </c>
      <c r="E31" s="73" t="str">
        <f t="shared" si="0"/>
        <v>105276,</v>
      </c>
      <c r="F31" s="124" t="s">
        <v>230</v>
      </c>
      <c r="G31" s="81" t="s">
        <v>231</v>
      </c>
      <c r="H31" s="72" t="s">
        <v>212</v>
      </c>
      <c r="I31" s="73" t="s">
        <v>160</v>
      </c>
    </row>
    <row r="32" spans="1:9" ht="15" customHeight="1">
      <c r="A32" s="272"/>
      <c r="B32" s="277"/>
      <c r="C32" s="102">
        <v>105227</v>
      </c>
      <c r="D32" s="73" t="s">
        <v>156</v>
      </c>
      <c r="E32" s="73" t="str">
        <f t="shared" si="0"/>
        <v>105227,</v>
      </c>
      <c r="F32" s="124" t="s">
        <v>232</v>
      </c>
      <c r="G32" s="81" t="s">
        <v>233</v>
      </c>
      <c r="H32" s="72" t="s">
        <v>212</v>
      </c>
      <c r="I32" s="73" t="s">
        <v>160</v>
      </c>
    </row>
    <row r="33" spans="1:9" ht="15" customHeight="1">
      <c r="A33" s="272"/>
      <c r="B33" s="277"/>
      <c r="C33" s="102">
        <v>105231</v>
      </c>
      <c r="D33" s="73" t="s">
        <v>156</v>
      </c>
      <c r="E33" s="73" t="str">
        <f t="shared" si="0"/>
        <v>105231,</v>
      </c>
      <c r="F33" s="124" t="s">
        <v>234</v>
      </c>
      <c r="G33" s="81" t="s">
        <v>226</v>
      </c>
      <c r="H33" s="72" t="s">
        <v>212</v>
      </c>
      <c r="I33" s="73" t="s">
        <v>160</v>
      </c>
    </row>
    <row r="34" spans="1:9" ht="15" customHeight="1">
      <c r="A34" s="272"/>
      <c r="B34" s="277"/>
      <c r="C34" s="102">
        <v>105224</v>
      </c>
      <c r="D34" s="73" t="s">
        <v>156</v>
      </c>
      <c r="E34" s="73" t="str">
        <f t="shared" si="0"/>
        <v>105224,</v>
      </c>
      <c r="F34" s="124" t="s">
        <v>235</v>
      </c>
      <c r="G34" s="81" t="s">
        <v>236</v>
      </c>
      <c r="H34" s="72" t="s">
        <v>212</v>
      </c>
      <c r="I34" s="73" t="s">
        <v>160</v>
      </c>
    </row>
    <row r="35" spans="1:9" ht="15" customHeight="1">
      <c r="A35" s="272"/>
      <c r="B35" s="277"/>
      <c r="C35" s="102">
        <v>105279</v>
      </c>
      <c r="D35" s="73" t="s">
        <v>156</v>
      </c>
      <c r="E35" s="73" t="str">
        <f t="shared" si="0"/>
        <v>105279,</v>
      </c>
      <c r="F35" s="124" t="s">
        <v>237</v>
      </c>
      <c r="G35" s="81" t="s">
        <v>226</v>
      </c>
      <c r="H35" s="72" t="s">
        <v>212</v>
      </c>
      <c r="I35" s="73" t="s">
        <v>160</v>
      </c>
    </row>
    <row r="36" spans="1:9" ht="15" customHeight="1">
      <c r="A36" s="272"/>
      <c r="B36" s="277"/>
      <c r="C36" s="102">
        <v>105221</v>
      </c>
      <c r="D36" s="73" t="s">
        <v>156</v>
      </c>
      <c r="E36" s="73" t="str">
        <f t="shared" si="0"/>
        <v>105221,</v>
      </c>
      <c r="F36" s="124" t="s">
        <v>238</v>
      </c>
      <c r="G36" s="81" t="s">
        <v>239</v>
      </c>
      <c r="H36" s="72" t="s">
        <v>212</v>
      </c>
      <c r="I36" s="73" t="s">
        <v>160</v>
      </c>
    </row>
    <row r="37" spans="1:9" ht="15" customHeight="1">
      <c r="A37" s="272"/>
      <c r="B37" s="277"/>
      <c r="C37" s="102">
        <v>130350</v>
      </c>
      <c r="D37" s="73" t="s">
        <v>156</v>
      </c>
      <c r="E37" s="73" t="str">
        <f t="shared" si="0"/>
        <v>130350,</v>
      </c>
      <c r="F37" s="124" t="s">
        <v>240</v>
      </c>
      <c r="G37" s="81" t="s">
        <v>241</v>
      </c>
      <c r="H37" s="72" t="s">
        <v>212</v>
      </c>
      <c r="I37" s="73" t="s">
        <v>160</v>
      </c>
    </row>
    <row r="38" spans="1:9" ht="15" customHeight="1">
      <c r="A38" s="272"/>
      <c r="B38" s="277"/>
      <c r="C38" s="102">
        <v>134407</v>
      </c>
      <c r="D38" s="73" t="s">
        <v>156</v>
      </c>
      <c r="E38" s="73" t="str">
        <f t="shared" si="0"/>
        <v>134407,</v>
      </c>
      <c r="F38" s="124" t="s">
        <v>242</v>
      </c>
      <c r="G38" s="81" t="s">
        <v>243</v>
      </c>
      <c r="H38" s="72" t="s">
        <v>212</v>
      </c>
      <c r="I38" s="73" t="s">
        <v>160</v>
      </c>
    </row>
    <row r="39" spans="1:9" ht="15" customHeight="1">
      <c r="A39" s="272"/>
      <c r="B39" s="277"/>
      <c r="C39" s="102">
        <v>105230</v>
      </c>
      <c r="D39" s="73" t="s">
        <v>156</v>
      </c>
      <c r="E39" s="73" t="str">
        <f t="shared" si="0"/>
        <v>105230,</v>
      </c>
      <c r="F39" s="124" t="s">
        <v>244</v>
      </c>
      <c r="G39" s="81" t="s">
        <v>245</v>
      </c>
      <c r="H39" s="72" t="s">
        <v>212</v>
      </c>
      <c r="I39" s="73" t="s">
        <v>173</v>
      </c>
    </row>
    <row r="40" spans="1:9" ht="15" customHeight="1">
      <c r="A40" s="272"/>
      <c r="B40" s="277"/>
      <c r="C40" s="102">
        <v>153885</v>
      </c>
      <c r="D40" s="73" t="s">
        <v>156</v>
      </c>
      <c r="E40" s="73" t="str">
        <f t="shared" si="0"/>
        <v>153885,</v>
      </c>
      <c r="F40" s="124" t="s">
        <v>213</v>
      </c>
      <c r="G40" s="81" t="s">
        <v>246</v>
      </c>
      <c r="H40" s="72" t="s">
        <v>212</v>
      </c>
      <c r="I40" s="73" t="s">
        <v>160</v>
      </c>
    </row>
    <row r="41" spans="1:9" ht="15" customHeight="1">
      <c r="A41" s="74"/>
      <c r="B41" s="113"/>
      <c r="C41" s="127">
        <v>177390</v>
      </c>
      <c r="D41" s="128"/>
      <c r="E41" s="73" t="str">
        <f t="shared" si="0"/>
        <v>177390</v>
      </c>
      <c r="F41" s="129" t="s">
        <v>247</v>
      </c>
      <c r="G41" s="130" t="s">
        <v>248</v>
      </c>
      <c r="H41" s="131" t="s">
        <v>212</v>
      </c>
      <c r="I41" s="128" t="s">
        <v>160</v>
      </c>
    </row>
    <row r="42" spans="1:9" ht="15" customHeight="1">
      <c r="A42" s="74"/>
      <c r="B42" s="113"/>
      <c r="C42" s="102"/>
      <c r="D42" s="73"/>
      <c r="E42" s="73"/>
      <c r="F42" s="124"/>
      <c r="G42" s="81"/>
      <c r="H42" s="72"/>
      <c r="I42" s="73"/>
    </row>
    <row r="43" spans="1:9" ht="15" customHeight="1">
      <c r="A43" s="269" t="s">
        <v>249</v>
      </c>
      <c r="B43" s="275" t="s">
        <v>162</v>
      </c>
      <c r="C43" s="132">
        <v>170361</v>
      </c>
      <c r="D43" s="133" t="s">
        <v>156</v>
      </c>
      <c r="E43" s="133" t="str">
        <f t="shared" ref="E43:E106" si="1">C43&amp;D43</f>
        <v>170361,</v>
      </c>
      <c r="F43" s="134" t="s">
        <v>250</v>
      </c>
      <c r="G43" s="134" t="s">
        <v>251</v>
      </c>
      <c r="H43" s="134" t="s">
        <v>252</v>
      </c>
      <c r="I43" s="78" t="s">
        <v>173</v>
      </c>
    </row>
    <row r="44" spans="1:9" ht="15" customHeight="1">
      <c r="A44" s="267"/>
      <c r="B44" s="273"/>
      <c r="C44" s="132">
        <v>170363</v>
      </c>
      <c r="D44" s="133" t="s">
        <v>156</v>
      </c>
      <c r="E44" s="133" t="str">
        <f t="shared" si="1"/>
        <v>170363,</v>
      </c>
      <c r="F44" s="134" t="s">
        <v>253</v>
      </c>
      <c r="G44" s="134" t="s">
        <v>254</v>
      </c>
      <c r="H44" s="134" t="s">
        <v>252</v>
      </c>
      <c r="I44" s="78" t="s">
        <v>173</v>
      </c>
    </row>
    <row r="45" spans="1:9" ht="15" customHeight="1">
      <c r="A45" s="267"/>
      <c r="B45" s="273"/>
      <c r="C45" s="132">
        <v>170360</v>
      </c>
      <c r="D45" s="133" t="s">
        <v>156</v>
      </c>
      <c r="E45" s="133" t="str">
        <f t="shared" si="1"/>
        <v>170360,</v>
      </c>
      <c r="F45" s="134" t="s">
        <v>255</v>
      </c>
      <c r="G45" s="134" t="s">
        <v>256</v>
      </c>
      <c r="H45" s="134" t="s">
        <v>252</v>
      </c>
      <c r="I45" s="78" t="s">
        <v>173</v>
      </c>
    </row>
    <row r="46" spans="1:9" ht="15" customHeight="1">
      <c r="A46" s="267"/>
      <c r="B46" s="273"/>
      <c r="C46" s="132">
        <v>170359</v>
      </c>
      <c r="D46" s="133" t="s">
        <v>156</v>
      </c>
      <c r="E46" s="133" t="str">
        <f t="shared" si="1"/>
        <v>170359,</v>
      </c>
      <c r="F46" s="134" t="s">
        <v>257</v>
      </c>
      <c r="G46" s="134" t="s">
        <v>254</v>
      </c>
      <c r="H46" s="134" t="s">
        <v>252</v>
      </c>
      <c r="I46" s="78" t="s">
        <v>173</v>
      </c>
    </row>
    <row r="47" spans="1:9" ht="15" customHeight="1">
      <c r="A47" s="267"/>
      <c r="B47" s="273"/>
      <c r="C47" s="132">
        <v>170352</v>
      </c>
      <c r="D47" s="133" t="s">
        <v>156</v>
      </c>
      <c r="E47" s="133" t="str">
        <f t="shared" si="1"/>
        <v>170352,</v>
      </c>
      <c r="F47" s="134" t="s">
        <v>258</v>
      </c>
      <c r="G47" s="134" t="s">
        <v>259</v>
      </c>
      <c r="H47" s="134" t="s">
        <v>252</v>
      </c>
      <c r="I47" s="78" t="s">
        <v>173</v>
      </c>
    </row>
    <row r="48" spans="1:9" ht="15" customHeight="1">
      <c r="A48" s="267"/>
      <c r="B48" s="273"/>
      <c r="C48" s="132">
        <v>170351</v>
      </c>
      <c r="D48" s="133" t="s">
        <v>156</v>
      </c>
      <c r="E48" s="133" t="str">
        <f t="shared" si="1"/>
        <v>170351,</v>
      </c>
      <c r="F48" s="134" t="s">
        <v>258</v>
      </c>
      <c r="G48" s="134" t="s">
        <v>260</v>
      </c>
      <c r="H48" s="134" t="s">
        <v>252</v>
      </c>
      <c r="I48" s="78" t="s">
        <v>173</v>
      </c>
    </row>
    <row r="49" spans="1:9" ht="15" customHeight="1">
      <c r="A49" s="267"/>
      <c r="B49" s="273"/>
      <c r="C49" s="132">
        <v>134587</v>
      </c>
      <c r="D49" s="133" t="s">
        <v>156</v>
      </c>
      <c r="E49" s="133" t="str">
        <f t="shared" si="1"/>
        <v>134587,</v>
      </c>
      <c r="F49" s="134" t="s">
        <v>261</v>
      </c>
      <c r="G49" s="134" t="s">
        <v>262</v>
      </c>
      <c r="H49" s="134" t="s">
        <v>252</v>
      </c>
      <c r="I49" s="78" t="s">
        <v>263</v>
      </c>
    </row>
    <row r="50" spans="1:9" ht="15" customHeight="1">
      <c r="A50" s="267"/>
      <c r="B50" s="273"/>
      <c r="C50" s="132">
        <v>170345</v>
      </c>
      <c r="D50" s="133" t="s">
        <v>156</v>
      </c>
      <c r="E50" s="133" t="str">
        <f t="shared" si="1"/>
        <v>170345,</v>
      </c>
      <c r="F50" s="134" t="s">
        <v>264</v>
      </c>
      <c r="G50" s="134" t="s">
        <v>265</v>
      </c>
      <c r="H50" s="134" t="s">
        <v>252</v>
      </c>
      <c r="I50" s="78" t="s">
        <v>173</v>
      </c>
    </row>
    <row r="51" spans="1:9" ht="15" customHeight="1">
      <c r="A51" s="267"/>
      <c r="B51" s="273"/>
      <c r="C51" s="132">
        <v>134588</v>
      </c>
      <c r="D51" s="133" t="s">
        <v>156</v>
      </c>
      <c r="E51" s="133" t="str">
        <f t="shared" si="1"/>
        <v>134588,</v>
      </c>
      <c r="F51" s="134" t="s">
        <v>266</v>
      </c>
      <c r="G51" s="134" t="s">
        <v>267</v>
      </c>
      <c r="H51" s="134" t="s">
        <v>252</v>
      </c>
      <c r="I51" s="78" t="s">
        <v>173</v>
      </c>
    </row>
    <row r="52" spans="1:9" ht="15" customHeight="1">
      <c r="A52" s="267"/>
      <c r="B52" s="273"/>
      <c r="C52" s="132">
        <v>170350</v>
      </c>
      <c r="D52" s="133" t="s">
        <v>156</v>
      </c>
      <c r="E52" s="133" t="str">
        <f t="shared" si="1"/>
        <v>170350,</v>
      </c>
      <c r="F52" s="134" t="s">
        <v>268</v>
      </c>
      <c r="G52" s="134" t="s">
        <v>269</v>
      </c>
      <c r="H52" s="134" t="s">
        <v>252</v>
      </c>
      <c r="I52" s="78" t="s">
        <v>173</v>
      </c>
    </row>
    <row r="53" spans="1:9" ht="15" customHeight="1">
      <c r="A53" s="267"/>
      <c r="B53" s="273"/>
      <c r="C53" s="132">
        <v>170349</v>
      </c>
      <c r="D53" s="133" t="s">
        <v>156</v>
      </c>
      <c r="E53" s="133" t="str">
        <f t="shared" si="1"/>
        <v>170349,</v>
      </c>
      <c r="F53" s="134" t="s">
        <v>270</v>
      </c>
      <c r="G53" s="134" t="s">
        <v>271</v>
      </c>
      <c r="H53" s="134" t="s">
        <v>252</v>
      </c>
      <c r="I53" s="78" t="s">
        <v>173</v>
      </c>
    </row>
    <row r="54" spans="1:9" ht="15" customHeight="1">
      <c r="A54" s="267"/>
      <c r="B54" s="273"/>
      <c r="C54" s="102">
        <v>138325</v>
      </c>
      <c r="D54" s="73" t="s">
        <v>156</v>
      </c>
      <c r="E54" s="73" t="str">
        <f t="shared" si="1"/>
        <v>138325,</v>
      </c>
      <c r="F54" s="124" t="s">
        <v>272</v>
      </c>
      <c r="G54" s="81" t="s">
        <v>273</v>
      </c>
      <c r="H54" s="72" t="s">
        <v>274</v>
      </c>
      <c r="I54" s="73" t="s">
        <v>173</v>
      </c>
    </row>
    <row r="55" spans="1:9" ht="15" customHeight="1">
      <c r="A55" s="267"/>
      <c r="B55" s="273"/>
      <c r="C55" s="102">
        <v>138584</v>
      </c>
      <c r="D55" s="73" t="s">
        <v>156</v>
      </c>
      <c r="E55" s="73" t="str">
        <f t="shared" si="1"/>
        <v>138584,</v>
      </c>
      <c r="F55" s="124" t="s">
        <v>275</v>
      </c>
      <c r="G55" s="81" t="s">
        <v>276</v>
      </c>
      <c r="H55" s="72" t="s">
        <v>277</v>
      </c>
      <c r="I55" s="73" t="s">
        <v>173</v>
      </c>
    </row>
    <row r="56" spans="1:9" ht="15" customHeight="1">
      <c r="A56" s="267"/>
      <c r="B56" s="273"/>
      <c r="C56" s="102">
        <v>161996</v>
      </c>
      <c r="D56" s="73" t="s">
        <v>156</v>
      </c>
      <c r="E56" s="73" t="str">
        <f t="shared" si="1"/>
        <v>161996,</v>
      </c>
      <c r="F56" s="124" t="s">
        <v>278</v>
      </c>
      <c r="G56" s="81" t="s">
        <v>279</v>
      </c>
      <c r="H56" s="72" t="s">
        <v>280</v>
      </c>
      <c r="I56" s="73" t="s">
        <v>173</v>
      </c>
    </row>
    <row r="57" spans="1:9" ht="15" customHeight="1">
      <c r="A57" s="267"/>
      <c r="B57" s="273"/>
      <c r="C57" s="102">
        <v>162003</v>
      </c>
      <c r="D57" s="73" t="s">
        <v>156</v>
      </c>
      <c r="E57" s="73" t="str">
        <f t="shared" si="1"/>
        <v>162003,</v>
      </c>
      <c r="F57" s="81" t="s">
        <v>281</v>
      </c>
      <c r="G57" s="81" t="s">
        <v>282</v>
      </c>
      <c r="H57" s="72" t="s">
        <v>280</v>
      </c>
      <c r="I57" s="73" t="s">
        <v>173</v>
      </c>
    </row>
    <row r="58" spans="1:9" ht="15" customHeight="1">
      <c r="A58" s="267"/>
      <c r="B58" s="273"/>
      <c r="C58" s="102">
        <v>162006</v>
      </c>
      <c r="D58" s="73" t="s">
        <v>156</v>
      </c>
      <c r="E58" s="73" t="str">
        <f t="shared" si="1"/>
        <v>162006,</v>
      </c>
      <c r="F58" s="124" t="s">
        <v>283</v>
      </c>
      <c r="G58" s="81" t="s">
        <v>284</v>
      </c>
      <c r="H58" s="72" t="s">
        <v>280</v>
      </c>
      <c r="I58" s="73" t="s">
        <v>160</v>
      </c>
    </row>
    <row r="59" spans="1:9" ht="15" customHeight="1">
      <c r="A59" s="267"/>
      <c r="B59" s="273"/>
      <c r="C59" s="102">
        <v>143054</v>
      </c>
      <c r="D59" s="73" t="s">
        <v>156</v>
      </c>
      <c r="E59" s="73" t="str">
        <f t="shared" si="1"/>
        <v>143054,</v>
      </c>
      <c r="F59" s="124" t="s">
        <v>285</v>
      </c>
      <c r="G59" s="81" t="s">
        <v>286</v>
      </c>
      <c r="H59" s="72" t="s">
        <v>287</v>
      </c>
      <c r="I59" s="73" t="s">
        <v>173</v>
      </c>
    </row>
    <row r="60" spans="1:9" ht="15" customHeight="1">
      <c r="A60" s="267"/>
      <c r="B60" s="273"/>
      <c r="C60" s="102">
        <v>143089</v>
      </c>
      <c r="D60" s="73" t="s">
        <v>156</v>
      </c>
      <c r="E60" s="73" t="str">
        <f t="shared" si="1"/>
        <v>143089,</v>
      </c>
      <c r="F60" s="124" t="s">
        <v>288</v>
      </c>
      <c r="G60" s="81" t="s">
        <v>289</v>
      </c>
      <c r="H60" s="72" t="s">
        <v>287</v>
      </c>
      <c r="I60" s="73" t="s">
        <v>173</v>
      </c>
    </row>
    <row r="61" spans="1:9" ht="15" customHeight="1">
      <c r="A61" s="267"/>
      <c r="B61" s="273"/>
      <c r="C61" s="102">
        <v>143095</v>
      </c>
      <c r="D61" s="73" t="s">
        <v>156</v>
      </c>
      <c r="E61" s="73" t="str">
        <f t="shared" si="1"/>
        <v>143095,</v>
      </c>
      <c r="F61" s="124" t="s">
        <v>290</v>
      </c>
      <c r="G61" s="81" t="s">
        <v>291</v>
      </c>
      <c r="H61" s="72" t="s">
        <v>287</v>
      </c>
      <c r="I61" s="73" t="s">
        <v>173</v>
      </c>
    </row>
    <row r="62" spans="1:9" ht="15" customHeight="1">
      <c r="A62" s="267"/>
      <c r="B62" s="273"/>
      <c r="C62" s="102">
        <v>143093</v>
      </c>
      <c r="D62" s="73" t="s">
        <v>156</v>
      </c>
      <c r="E62" s="73" t="str">
        <f t="shared" si="1"/>
        <v>143093,</v>
      </c>
      <c r="F62" s="124" t="s">
        <v>292</v>
      </c>
      <c r="G62" s="81" t="s">
        <v>293</v>
      </c>
      <c r="H62" s="72" t="s">
        <v>287</v>
      </c>
      <c r="I62" s="73" t="s">
        <v>173</v>
      </c>
    </row>
    <row r="63" spans="1:9" ht="15" customHeight="1">
      <c r="A63" s="267"/>
      <c r="B63" s="273"/>
      <c r="C63" s="102">
        <v>143074</v>
      </c>
      <c r="D63" s="73" t="s">
        <v>156</v>
      </c>
      <c r="E63" s="73" t="str">
        <f t="shared" si="1"/>
        <v>143074,</v>
      </c>
      <c r="F63" s="124" t="s">
        <v>294</v>
      </c>
      <c r="G63" s="81" t="s">
        <v>295</v>
      </c>
      <c r="H63" s="72" t="s">
        <v>287</v>
      </c>
      <c r="I63" s="73" t="s">
        <v>173</v>
      </c>
    </row>
    <row r="64" spans="1:9" ht="15" customHeight="1">
      <c r="A64" s="267"/>
      <c r="B64" s="273"/>
      <c r="C64" s="102">
        <v>115425</v>
      </c>
      <c r="D64" s="73" t="s">
        <v>156</v>
      </c>
      <c r="E64" s="73" t="str">
        <f t="shared" si="1"/>
        <v>115425,</v>
      </c>
      <c r="F64" s="124" t="s">
        <v>296</v>
      </c>
      <c r="G64" s="81" t="s">
        <v>297</v>
      </c>
      <c r="H64" s="72" t="s">
        <v>298</v>
      </c>
      <c r="I64" s="73" t="s">
        <v>173</v>
      </c>
    </row>
    <row r="65" spans="1:9" ht="15" customHeight="1">
      <c r="A65" s="267"/>
      <c r="B65" s="273"/>
      <c r="C65" s="102">
        <v>115433</v>
      </c>
      <c r="D65" s="73" t="s">
        <v>156</v>
      </c>
      <c r="E65" s="73" t="str">
        <f t="shared" si="1"/>
        <v>115433,</v>
      </c>
      <c r="F65" s="124" t="s">
        <v>299</v>
      </c>
      <c r="G65" s="81" t="s">
        <v>300</v>
      </c>
      <c r="H65" s="72" t="s">
        <v>298</v>
      </c>
      <c r="I65" s="73" t="s">
        <v>173</v>
      </c>
    </row>
    <row r="66" spans="1:9" ht="15" customHeight="1">
      <c r="A66" s="267"/>
      <c r="B66" s="273"/>
      <c r="C66" s="102">
        <v>16644</v>
      </c>
      <c r="D66" s="73" t="s">
        <v>156</v>
      </c>
      <c r="E66" s="73" t="str">
        <f t="shared" si="1"/>
        <v>16644,</v>
      </c>
      <c r="F66" s="124" t="s">
        <v>301</v>
      </c>
      <c r="G66" s="81" t="s">
        <v>302</v>
      </c>
      <c r="H66" s="72" t="s">
        <v>303</v>
      </c>
      <c r="I66" s="73" t="s">
        <v>173</v>
      </c>
    </row>
    <row r="67" spans="1:9" ht="15" customHeight="1">
      <c r="A67" s="267"/>
      <c r="B67" s="273"/>
      <c r="C67" s="102">
        <v>66994</v>
      </c>
      <c r="D67" s="73" t="s">
        <v>156</v>
      </c>
      <c r="E67" s="73" t="str">
        <f t="shared" si="1"/>
        <v>66994,</v>
      </c>
      <c r="F67" s="124" t="s">
        <v>304</v>
      </c>
      <c r="G67" s="81" t="s">
        <v>305</v>
      </c>
      <c r="H67" s="72" t="s">
        <v>306</v>
      </c>
      <c r="I67" s="73" t="s">
        <v>307</v>
      </c>
    </row>
    <row r="68" spans="1:9" ht="15" customHeight="1">
      <c r="A68" s="267"/>
      <c r="B68" s="273"/>
      <c r="C68" s="78">
        <v>166599</v>
      </c>
      <c r="D68" s="73" t="s">
        <v>156</v>
      </c>
      <c r="E68" s="73" t="str">
        <f t="shared" si="1"/>
        <v>166599,</v>
      </c>
      <c r="F68" s="72" t="s">
        <v>308</v>
      </c>
      <c r="G68" s="72" t="s">
        <v>309</v>
      </c>
      <c r="H68" s="89" t="s">
        <v>310</v>
      </c>
      <c r="I68" s="73" t="s">
        <v>173</v>
      </c>
    </row>
    <row r="69" spans="1:9" ht="15" customHeight="1">
      <c r="A69" s="267"/>
      <c r="B69" s="273"/>
      <c r="C69" s="102">
        <v>62051</v>
      </c>
      <c r="D69" s="73" t="s">
        <v>156</v>
      </c>
      <c r="E69" s="73" t="str">
        <f t="shared" si="1"/>
        <v>62051,</v>
      </c>
      <c r="F69" s="124" t="s">
        <v>311</v>
      </c>
      <c r="G69" s="81" t="s">
        <v>312</v>
      </c>
      <c r="H69" s="72" t="s">
        <v>313</v>
      </c>
      <c r="I69" s="73" t="s">
        <v>173</v>
      </c>
    </row>
    <row r="70" spans="1:9" ht="15" customHeight="1">
      <c r="A70" s="267"/>
      <c r="B70" s="273"/>
      <c r="C70" s="102">
        <v>62049</v>
      </c>
      <c r="D70" s="73" t="s">
        <v>156</v>
      </c>
      <c r="E70" s="73" t="str">
        <f t="shared" si="1"/>
        <v>62049,</v>
      </c>
      <c r="F70" s="124" t="s">
        <v>314</v>
      </c>
      <c r="G70" s="81" t="s">
        <v>315</v>
      </c>
      <c r="H70" s="72" t="s">
        <v>313</v>
      </c>
      <c r="I70" s="73" t="s">
        <v>173</v>
      </c>
    </row>
    <row r="71" spans="1:9" ht="15" customHeight="1">
      <c r="A71" s="267"/>
      <c r="B71" s="273"/>
      <c r="C71" s="102">
        <v>152404</v>
      </c>
      <c r="D71" s="73" t="s">
        <v>156</v>
      </c>
      <c r="E71" s="73" t="str">
        <f t="shared" si="1"/>
        <v>152404,</v>
      </c>
      <c r="F71" s="124" t="s">
        <v>316</v>
      </c>
      <c r="G71" s="81" t="s">
        <v>317</v>
      </c>
      <c r="H71" s="72" t="s">
        <v>313</v>
      </c>
      <c r="I71" s="73" t="s">
        <v>173</v>
      </c>
    </row>
    <row r="72" spans="1:9" ht="15" customHeight="1">
      <c r="A72" s="267"/>
      <c r="B72" s="273"/>
      <c r="C72" s="102">
        <v>62986</v>
      </c>
      <c r="D72" s="73" t="s">
        <v>156</v>
      </c>
      <c r="E72" s="73" t="str">
        <f t="shared" si="1"/>
        <v>62986,</v>
      </c>
      <c r="F72" s="124" t="s">
        <v>318</v>
      </c>
      <c r="G72" s="81" t="s">
        <v>319</v>
      </c>
      <c r="H72" s="72" t="s">
        <v>313</v>
      </c>
      <c r="I72" s="73" t="s">
        <v>173</v>
      </c>
    </row>
    <row r="73" spans="1:9" ht="15" customHeight="1">
      <c r="A73" s="267"/>
      <c r="B73" s="273"/>
      <c r="C73" s="102">
        <v>74934</v>
      </c>
      <c r="D73" s="73" t="s">
        <v>156</v>
      </c>
      <c r="E73" s="73" t="str">
        <f t="shared" si="1"/>
        <v>74934,</v>
      </c>
      <c r="F73" s="124" t="s">
        <v>320</v>
      </c>
      <c r="G73" s="81" t="s">
        <v>321</v>
      </c>
      <c r="H73" s="72" t="s">
        <v>313</v>
      </c>
      <c r="I73" s="73" t="s">
        <v>173</v>
      </c>
    </row>
    <row r="74" spans="1:9" ht="15" customHeight="1">
      <c r="A74" s="267"/>
      <c r="B74" s="273"/>
      <c r="C74" s="102">
        <v>74933</v>
      </c>
      <c r="D74" s="73" t="s">
        <v>156</v>
      </c>
      <c r="E74" s="73" t="str">
        <f t="shared" si="1"/>
        <v>74933,</v>
      </c>
      <c r="F74" s="124" t="s">
        <v>322</v>
      </c>
      <c r="G74" s="81" t="s">
        <v>323</v>
      </c>
      <c r="H74" s="72" t="s">
        <v>313</v>
      </c>
      <c r="I74" s="73" t="s">
        <v>173</v>
      </c>
    </row>
    <row r="75" spans="1:9" ht="15" customHeight="1">
      <c r="A75" s="267"/>
      <c r="B75" s="273"/>
      <c r="C75" s="102">
        <v>123944</v>
      </c>
      <c r="D75" s="73" t="s">
        <v>156</v>
      </c>
      <c r="E75" s="73" t="str">
        <f t="shared" si="1"/>
        <v>123944,</v>
      </c>
      <c r="F75" s="124" t="s">
        <v>324</v>
      </c>
      <c r="G75" s="81" t="s">
        <v>325</v>
      </c>
      <c r="H75" s="72" t="s">
        <v>313</v>
      </c>
      <c r="I75" s="73" t="s">
        <v>173</v>
      </c>
    </row>
    <row r="76" spans="1:9" ht="15" customHeight="1">
      <c r="A76" s="267"/>
      <c r="B76" s="273"/>
      <c r="C76" s="102">
        <v>115435</v>
      </c>
      <c r="D76" s="73" t="s">
        <v>156</v>
      </c>
      <c r="E76" s="73" t="str">
        <f t="shared" si="1"/>
        <v>115435,</v>
      </c>
      <c r="F76" s="124" t="s">
        <v>326</v>
      </c>
      <c r="G76" s="81" t="s">
        <v>327</v>
      </c>
      <c r="H76" s="72" t="s">
        <v>328</v>
      </c>
      <c r="I76" s="73" t="s">
        <v>173</v>
      </c>
    </row>
    <row r="77" spans="1:9" ht="15" customHeight="1">
      <c r="A77" s="267"/>
      <c r="B77" s="273"/>
      <c r="C77" s="102">
        <v>16645</v>
      </c>
      <c r="D77" s="73" t="s">
        <v>156</v>
      </c>
      <c r="E77" s="73" t="str">
        <f t="shared" si="1"/>
        <v>16645,</v>
      </c>
      <c r="F77" s="124" t="s">
        <v>329</v>
      </c>
      <c r="G77" s="81" t="s">
        <v>330</v>
      </c>
      <c r="H77" s="72" t="s">
        <v>328</v>
      </c>
      <c r="I77" s="73" t="s">
        <v>173</v>
      </c>
    </row>
    <row r="78" spans="1:9" ht="15" customHeight="1">
      <c r="A78" s="267"/>
      <c r="B78" s="273"/>
      <c r="C78" s="102">
        <v>62982</v>
      </c>
      <c r="D78" s="73" t="s">
        <v>156</v>
      </c>
      <c r="E78" s="73" t="str">
        <f t="shared" si="1"/>
        <v>62982,</v>
      </c>
      <c r="F78" s="124" t="s">
        <v>331</v>
      </c>
      <c r="G78" s="81" t="s">
        <v>332</v>
      </c>
      <c r="H78" s="72" t="s">
        <v>328</v>
      </c>
      <c r="I78" s="73" t="s">
        <v>173</v>
      </c>
    </row>
    <row r="79" spans="1:9" ht="15" customHeight="1">
      <c r="A79" s="267"/>
      <c r="B79" s="273"/>
      <c r="C79" s="102">
        <v>115434</v>
      </c>
      <c r="D79" s="73" t="s">
        <v>156</v>
      </c>
      <c r="E79" s="73" t="str">
        <f t="shared" si="1"/>
        <v>115434,</v>
      </c>
      <c r="F79" s="124" t="s">
        <v>333</v>
      </c>
      <c r="G79" s="81" t="s">
        <v>334</v>
      </c>
      <c r="H79" s="72" t="s">
        <v>328</v>
      </c>
      <c r="I79" s="73" t="s">
        <v>160</v>
      </c>
    </row>
    <row r="80" spans="1:9" ht="15" customHeight="1">
      <c r="A80" s="267"/>
      <c r="B80" s="273"/>
      <c r="C80" s="102">
        <v>69187</v>
      </c>
      <c r="D80" s="73" t="s">
        <v>156</v>
      </c>
      <c r="E80" s="73" t="str">
        <f t="shared" si="1"/>
        <v>69187,</v>
      </c>
      <c r="F80" s="124" t="s">
        <v>335</v>
      </c>
      <c r="G80" s="81" t="s">
        <v>336</v>
      </c>
      <c r="H80" s="72" t="s">
        <v>337</v>
      </c>
      <c r="I80" s="73" t="s">
        <v>173</v>
      </c>
    </row>
    <row r="81" spans="1:9" ht="15" customHeight="1">
      <c r="A81" s="267"/>
      <c r="B81" s="273"/>
      <c r="C81" s="102">
        <v>84295</v>
      </c>
      <c r="D81" s="73" t="s">
        <v>156</v>
      </c>
      <c r="E81" s="73" t="str">
        <f t="shared" si="1"/>
        <v>84295,</v>
      </c>
      <c r="F81" s="124" t="s">
        <v>338</v>
      </c>
      <c r="G81" s="81" t="s">
        <v>339</v>
      </c>
      <c r="H81" s="72" t="s">
        <v>337</v>
      </c>
      <c r="I81" s="73" t="s">
        <v>173</v>
      </c>
    </row>
    <row r="82" spans="1:9" ht="15" customHeight="1">
      <c r="A82" s="267"/>
      <c r="B82" s="273"/>
      <c r="C82" s="102">
        <v>52532</v>
      </c>
      <c r="D82" s="73" t="s">
        <v>156</v>
      </c>
      <c r="E82" s="73" t="str">
        <f t="shared" si="1"/>
        <v>52532,</v>
      </c>
      <c r="F82" s="124" t="s">
        <v>340</v>
      </c>
      <c r="G82" s="81" t="s">
        <v>341</v>
      </c>
      <c r="H82" s="72" t="s">
        <v>342</v>
      </c>
      <c r="I82" s="73" t="s">
        <v>173</v>
      </c>
    </row>
    <row r="83" spans="1:9" ht="15" customHeight="1">
      <c r="A83" s="267"/>
      <c r="B83" s="273"/>
      <c r="C83" s="102">
        <v>52440</v>
      </c>
      <c r="D83" s="73" t="s">
        <v>156</v>
      </c>
      <c r="E83" s="73" t="str">
        <f t="shared" si="1"/>
        <v>52440,</v>
      </c>
      <c r="F83" s="124" t="s">
        <v>343</v>
      </c>
      <c r="G83" s="81" t="s">
        <v>344</v>
      </c>
      <c r="H83" s="72" t="s">
        <v>342</v>
      </c>
      <c r="I83" s="73" t="s">
        <v>173</v>
      </c>
    </row>
    <row r="84" spans="1:9" ht="15" customHeight="1">
      <c r="A84" s="267"/>
      <c r="B84" s="273"/>
      <c r="C84" s="102">
        <v>52429</v>
      </c>
      <c r="D84" s="73" t="s">
        <v>156</v>
      </c>
      <c r="E84" s="73" t="str">
        <f t="shared" si="1"/>
        <v>52429,</v>
      </c>
      <c r="F84" s="124" t="s">
        <v>345</v>
      </c>
      <c r="G84" s="81" t="s">
        <v>346</v>
      </c>
      <c r="H84" s="72" t="s">
        <v>342</v>
      </c>
      <c r="I84" s="73" t="s">
        <v>173</v>
      </c>
    </row>
    <row r="85" spans="1:9" ht="15" customHeight="1">
      <c r="A85" s="267"/>
      <c r="B85" s="273"/>
      <c r="C85" s="102">
        <v>52451</v>
      </c>
      <c r="D85" s="73" t="s">
        <v>156</v>
      </c>
      <c r="E85" s="73" t="str">
        <f t="shared" si="1"/>
        <v>52451,</v>
      </c>
      <c r="F85" s="124" t="s">
        <v>347</v>
      </c>
      <c r="G85" s="81" t="s">
        <v>348</v>
      </c>
      <c r="H85" s="72" t="s">
        <v>342</v>
      </c>
      <c r="I85" s="73" t="s">
        <v>173</v>
      </c>
    </row>
    <row r="86" spans="1:9" ht="15" customHeight="1">
      <c r="A86" s="267"/>
      <c r="B86" s="273"/>
      <c r="C86" s="102">
        <v>68184</v>
      </c>
      <c r="D86" s="73" t="s">
        <v>156</v>
      </c>
      <c r="E86" s="73" t="str">
        <f t="shared" si="1"/>
        <v>68184,</v>
      </c>
      <c r="F86" s="124" t="s">
        <v>349</v>
      </c>
      <c r="G86" s="81" t="s">
        <v>350</v>
      </c>
      <c r="H86" s="72" t="s">
        <v>342</v>
      </c>
      <c r="I86" s="73" t="s">
        <v>173</v>
      </c>
    </row>
    <row r="87" spans="1:9" ht="15" customHeight="1">
      <c r="A87" s="267"/>
      <c r="B87" s="273"/>
      <c r="C87" s="102">
        <v>52446</v>
      </c>
      <c r="D87" s="73" t="s">
        <v>156</v>
      </c>
      <c r="E87" s="73" t="str">
        <f t="shared" si="1"/>
        <v>52446,</v>
      </c>
      <c r="F87" s="124" t="s">
        <v>351</v>
      </c>
      <c r="G87" s="81" t="s">
        <v>352</v>
      </c>
      <c r="H87" s="72" t="s">
        <v>342</v>
      </c>
      <c r="I87" s="73" t="s">
        <v>173</v>
      </c>
    </row>
    <row r="88" spans="1:9" ht="15" customHeight="1">
      <c r="A88" s="267"/>
      <c r="B88" s="273"/>
      <c r="C88" s="102">
        <v>52447</v>
      </c>
      <c r="D88" s="73" t="s">
        <v>156</v>
      </c>
      <c r="E88" s="73" t="str">
        <f t="shared" si="1"/>
        <v>52447,</v>
      </c>
      <c r="F88" s="124" t="s">
        <v>353</v>
      </c>
      <c r="G88" s="81" t="s">
        <v>354</v>
      </c>
      <c r="H88" s="72" t="s">
        <v>342</v>
      </c>
      <c r="I88" s="73" t="s">
        <v>173</v>
      </c>
    </row>
    <row r="89" spans="1:9" ht="15" customHeight="1">
      <c r="A89" s="267"/>
      <c r="B89" s="273"/>
      <c r="C89" s="102">
        <v>52531</v>
      </c>
      <c r="D89" s="73" t="s">
        <v>156</v>
      </c>
      <c r="E89" s="73" t="str">
        <f t="shared" si="1"/>
        <v>52531,</v>
      </c>
      <c r="F89" s="124" t="s">
        <v>343</v>
      </c>
      <c r="G89" s="81" t="s">
        <v>355</v>
      </c>
      <c r="H89" s="72" t="s">
        <v>342</v>
      </c>
      <c r="I89" s="73" t="s">
        <v>173</v>
      </c>
    </row>
    <row r="90" spans="1:9" ht="15" customHeight="1">
      <c r="A90" s="267"/>
      <c r="B90" s="273"/>
      <c r="C90" s="102">
        <v>52453</v>
      </c>
      <c r="D90" s="73" t="s">
        <v>156</v>
      </c>
      <c r="E90" s="73" t="str">
        <f t="shared" si="1"/>
        <v>52453,</v>
      </c>
      <c r="F90" s="124" t="s">
        <v>356</v>
      </c>
      <c r="G90" s="81" t="s">
        <v>357</v>
      </c>
      <c r="H90" s="72" t="s">
        <v>358</v>
      </c>
      <c r="I90" s="73" t="s">
        <v>173</v>
      </c>
    </row>
    <row r="91" spans="1:9" ht="15" customHeight="1">
      <c r="A91" s="267"/>
      <c r="B91" s="273"/>
      <c r="C91" s="102">
        <v>69178</v>
      </c>
      <c r="D91" s="73" t="s">
        <v>156</v>
      </c>
      <c r="E91" s="73" t="str">
        <f t="shared" si="1"/>
        <v>69178,</v>
      </c>
      <c r="F91" s="124" t="s">
        <v>359</v>
      </c>
      <c r="G91" s="81" t="s">
        <v>360</v>
      </c>
      <c r="H91" s="72" t="s">
        <v>358</v>
      </c>
      <c r="I91" s="73" t="s">
        <v>173</v>
      </c>
    </row>
    <row r="92" spans="1:9" ht="15" customHeight="1">
      <c r="A92" s="267"/>
      <c r="B92" s="273"/>
      <c r="C92" s="102">
        <v>52444</v>
      </c>
      <c r="D92" s="73" t="s">
        <v>156</v>
      </c>
      <c r="E92" s="73" t="str">
        <f t="shared" si="1"/>
        <v>52444,</v>
      </c>
      <c r="F92" s="124" t="s">
        <v>361</v>
      </c>
      <c r="G92" s="81" t="s">
        <v>362</v>
      </c>
      <c r="H92" s="72" t="s">
        <v>358</v>
      </c>
      <c r="I92" s="73" t="s">
        <v>173</v>
      </c>
    </row>
    <row r="93" spans="1:9" ht="15" customHeight="1">
      <c r="A93" s="267"/>
      <c r="B93" s="273"/>
      <c r="C93" s="102">
        <v>69199</v>
      </c>
      <c r="D93" s="73" t="s">
        <v>156</v>
      </c>
      <c r="E93" s="73" t="str">
        <f t="shared" si="1"/>
        <v>69199,</v>
      </c>
      <c r="F93" s="124" t="s">
        <v>363</v>
      </c>
      <c r="G93" s="81" t="s">
        <v>364</v>
      </c>
      <c r="H93" s="72" t="s">
        <v>358</v>
      </c>
      <c r="I93" s="73" t="s">
        <v>173</v>
      </c>
    </row>
    <row r="94" spans="1:9" ht="15" customHeight="1">
      <c r="A94" s="267"/>
      <c r="B94" s="273"/>
      <c r="C94" s="102">
        <v>88782</v>
      </c>
      <c r="D94" s="73" t="s">
        <v>156</v>
      </c>
      <c r="E94" s="73" t="str">
        <f t="shared" si="1"/>
        <v>88782,</v>
      </c>
      <c r="F94" s="124" t="s">
        <v>365</v>
      </c>
      <c r="G94" s="81" t="s">
        <v>341</v>
      </c>
      <c r="H94" s="72" t="s">
        <v>358</v>
      </c>
      <c r="I94" s="73" t="s">
        <v>173</v>
      </c>
    </row>
    <row r="95" spans="1:9" ht="15" customHeight="1">
      <c r="A95" s="267"/>
      <c r="B95" s="273"/>
      <c r="C95" s="102">
        <v>84287</v>
      </c>
      <c r="D95" s="73" t="s">
        <v>156</v>
      </c>
      <c r="E95" s="73" t="str">
        <f t="shared" si="1"/>
        <v>84287,</v>
      </c>
      <c r="F95" s="124" t="s">
        <v>366</v>
      </c>
      <c r="G95" s="81" t="s">
        <v>367</v>
      </c>
      <c r="H95" s="72" t="s">
        <v>358</v>
      </c>
      <c r="I95" s="73" t="s">
        <v>173</v>
      </c>
    </row>
    <row r="96" spans="1:9" ht="15" customHeight="1">
      <c r="A96" s="267"/>
      <c r="B96" s="273"/>
      <c r="C96" s="102">
        <v>69143</v>
      </c>
      <c r="D96" s="73" t="s">
        <v>156</v>
      </c>
      <c r="E96" s="73" t="str">
        <f t="shared" si="1"/>
        <v>69143,</v>
      </c>
      <c r="F96" s="124" t="s">
        <v>278</v>
      </c>
      <c r="G96" s="81" t="s">
        <v>367</v>
      </c>
      <c r="H96" s="72" t="s">
        <v>358</v>
      </c>
      <c r="I96" s="73" t="s">
        <v>173</v>
      </c>
    </row>
    <row r="97" spans="1:9" ht="15" customHeight="1">
      <c r="A97" s="267"/>
      <c r="B97" s="273"/>
      <c r="C97" s="102">
        <v>52533</v>
      </c>
      <c r="D97" s="73" t="s">
        <v>156</v>
      </c>
      <c r="E97" s="73" t="str">
        <f t="shared" si="1"/>
        <v>52533,</v>
      </c>
      <c r="F97" s="124" t="s">
        <v>368</v>
      </c>
      <c r="G97" s="81" t="s">
        <v>369</v>
      </c>
      <c r="H97" s="72" t="s">
        <v>358</v>
      </c>
      <c r="I97" s="73" t="s">
        <v>173</v>
      </c>
    </row>
    <row r="98" spans="1:9" ht="15" customHeight="1">
      <c r="A98" s="267"/>
      <c r="B98" s="273"/>
      <c r="C98" s="102">
        <v>115320</v>
      </c>
      <c r="D98" s="73" t="s">
        <v>156</v>
      </c>
      <c r="E98" s="73" t="str">
        <f t="shared" si="1"/>
        <v>115320,</v>
      </c>
      <c r="F98" s="124" t="s">
        <v>370</v>
      </c>
      <c r="G98" s="81" t="s">
        <v>371</v>
      </c>
      <c r="H98" s="72" t="s">
        <v>358</v>
      </c>
      <c r="I98" s="73" t="s">
        <v>173</v>
      </c>
    </row>
    <row r="99" spans="1:9" ht="15" customHeight="1">
      <c r="A99" s="267"/>
      <c r="B99" s="273"/>
      <c r="C99" s="102">
        <v>52439</v>
      </c>
      <c r="D99" s="73" t="s">
        <v>156</v>
      </c>
      <c r="E99" s="73" t="str">
        <f t="shared" si="1"/>
        <v>52439,</v>
      </c>
      <c r="F99" s="124" t="s">
        <v>372</v>
      </c>
      <c r="G99" s="81" t="s">
        <v>373</v>
      </c>
      <c r="H99" s="72" t="s">
        <v>358</v>
      </c>
      <c r="I99" s="73" t="s">
        <v>173</v>
      </c>
    </row>
    <row r="100" spans="1:9" ht="15" customHeight="1">
      <c r="A100" s="267"/>
      <c r="B100" s="273"/>
      <c r="C100" s="102">
        <v>123211</v>
      </c>
      <c r="D100" s="73" t="s">
        <v>156</v>
      </c>
      <c r="E100" s="73" t="str">
        <f t="shared" si="1"/>
        <v>123211,</v>
      </c>
      <c r="F100" s="124" t="s">
        <v>374</v>
      </c>
      <c r="G100" s="81" t="s">
        <v>375</v>
      </c>
      <c r="H100" s="72" t="s">
        <v>358</v>
      </c>
      <c r="I100" s="73" t="s">
        <v>173</v>
      </c>
    </row>
    <row r="101" spans="1:9" ht="15" customHeight="1">
      <c r="A101" s="267"/>
      <c r="B101" s="273"/>
      <c r="C101" s="102">
        <v>121314</v>
      </c>
      <c r="D101" s="73" t="s">
        <v>156</v>
      </c>
      <c r="E101" s="73" t="str">
        <f t="shared" si="1"/>
        <v>121314,</v>
      </c>
      <c r="F101" s="124" t="s">
        <v>376</v>
      </c>
      <c r="G101" s="81" t="s">
        <v>377</v>
      </c>
      <c r="H101" s="72" t="s">
        <v>358</v>
      </c>
      <c r="I101" s="73" t="s">
        <v>173</v>
      </c>
    </row>
    <row r="102" spans="1:9" ht="15" customHeight="1">
      <c r="A102" s="267"/>
      <c r="B102" s="273"/>
      <c r="C102" s="102">
        <v>122654</v>
      </c>
      <c r="D102" s="73" t="s">
        <v>156</v>
      </c>
      <c r="E102" s="73" t="str">
        <f t="shared" si="1"/>
        <v>122654,</v>
      </c>
      <c r="F102" s="124" t="s">
        <v>378</v>
      </c>
      <c r="G102" s="81" t="s">
        <v>379</v>
      </c>
      <c r="H102" s="72" t="s">
        <v>358</v>
      </c>
      <c r="I102" s="73" t="s">
        <v>263</v>
      </c>
    </row>
    <row r="103" spans="1:9" ht="15" customHeight="1">
      <c r="A103" s="267"/>
      <c r="B103" s="273"/>
      <c r="C103" s="102">
        <v>126313</v>
      </c>
      <c r="D103" s="73" t="s">
        <v>156</v>
      </c>
      <c r="E103" s="73" t="str">
        <f t="shared" si="1"/>
        <v>126313,</v>
      </c>
      <c r="F103" s="124" t="s">
        <v>380</v>
      </c>
      <c r="G103" s="81" t="s">
        <v>381</v>
      </c>
      <c r="H103" s="72" t="s">
        <v>358</v>
      </c>
      <c r="I103" s="73" t="s">
        <v>160</v>
      </c>
    </row>
    <row r="104" spans="1:9" ht="15" customHeight="1">
      <c r="A104" s="267"/>
      <c r="B104" s="273"/>
      <c r="C104" s="102">
        <v>126314</v>
      </c>
      <c r="D104" s="73" t="s">
        <v>156</v>
      </c>
      <c r="E104" s="73" t="str">
        <f t="shared" si="1"/>
        <v>126314,</v>
      </c>
      <c r="F104" s="124" t="s">
        <v>382</v>
      </c>
      <c r="G104" s="81" t="s">
        <v>383</v>
      </c>
      <c r="H104" s="72" t="s">
        <v>358</v>
      </c>
      <c r="I104" s="73" t="s">
        <v>173</v>
      </c>
    </row>
    <row r="105" spans="1:9" ht="15" customHeight="1">
      <c r="A105" s="267"/>
      <c r="B105" s="273"/>
      <c r="C105" s="102">
        <v>130202</v>
      </c>
      <c r="D105" s="73" t="s">
        <v>156</v>
      </c>
      <c r="E105" s="73" t="str">
        <f t="shared" si="1"/>
        <v>130202,</v>
      </c>
      <c r="F105" s="124" t="s">
        <v>384</v>
      </c>
      <c r="G105" s="81" t="s">
        <v>385</v>
      </c>
      <c r="H105" s="72" t="s">
        <v>358</v>
      </c>
      <c r="I105" s="73" t="s">
        <v>173</v>
      </c>
    </row>
    <row r="106" spans="1:9" ht="15" customHeight="1">
      <c r="A106" s="267"/>
      <c r="B106" s="273"/>
      <c r="C106" s="102">
        <v>60603</v>
      </c>
      <c r="D106" s="73" t="s">
        <v>156</v>
      </c>
      <c r="E106" s="73" t="str">
        <f t="shared" si="1"/>
        <v>60603,</v>
      </c>
      <c r="F106" s="124" t="s">
        <v>386</v>
      </c>
      <c r="G106" s="81" t="s">
        <v>387</v>
      </c>
      <c r="H106" s="72" t="s">
        <v>358</v>
      </c>
      <c r="I106" s="73" t="s">
        <v>173</v>
      </c>
    </row>
    <row r="107" spans="1:9" ht="15" customHeight="1">
      <c r="A107" s="267"/>
      <c r="B107" s="273"/>
      <c r="C107" s="102">
        <v>104461</v>
      </c>
      <c r="D107" s="73" t="s">
        <v>156</v>
      </c>
      <c r="E107" s="73" t="str">
        <f t="shared" ref="E107:E170" si="2">C107&amp;D107</f>
        <v>104461,</v>
      </c>
      <c r="F107" s="124" t="s">
        <v>365</v>
      </c>
      <c r="G107" s="81" t="s">
        <v>373</v>
      </c>
      <c r="H107" s="72" t="s">
        <v>358</v>
      </c>
      <c r="I107" s="73" t="s">
        <v>173</v>
      </c>
    </row>
    <row r="108" spans="1:9" ht="15" customHeight="1">
      <c r="A108" s="267"/>
      <c r="B108" s="273"/>
      <c r="C108" s="102">
        <v>123210</v>
      </c>
      <c r="D108" s="73" t="s">
        <v>156</v>
      </c>
      <c r="E108" s="73" t="str">
        <f t="shared" si="2"/>
        <v>123210,</v>
      </c>
      <c r="F108" s="124" t="s">
        <v>388</v>
      </c>
      <c r="G108" s="81" t="s">
        <v>389</v>
      </c>
      <c r="H108" s="72" t="s">
        <v>358</v>
      </c>
      <c r="I108" s="73" t="s">
        <v>173</v>
      </c>
    </row>
    <row r="109" spans="1:9" ht="15" customHeight="1">
      <c r="A109" s="267"/>
      <c r="B109" s="273"/>
      <c r="C109" s="102">
        <v>122653</v>
      </c>
      <c r="D109" s="73" t="s">
        <v>156</v>
      </c>
      <c r="E109" s="73" t="str">
        <f t="shared" si="2"/>
        <v>122653,</v>
      </c>
      <c r="F109" s="124" t="s">
        <v>390</v>
      </c>
      <c r="G109" s="81" t="s">
        <v>391</v>
      </c>
      <c r="H109" s="72" t="s">
        <v>358</v>
      </c>
      <c r="I109" s="73" t="s">
        <v>263</v>
      </c>
    </row>
    <row r="110" spans="1:9" ht="15" customHeight="1">
      <c r="A110" s="267"/>
      <c r="B110" s="273"/>
      <c r="C110" s="102">
        <v>99795</v>
      </c>
      <c r="D110" s="73" t="s">
        <v>156</v>
      </c>
      <c r="E110" s="73" t="str">
        <f t="shared" si="2"/>
        <v>99795,</v>
      </c>
      <c r="F110" s="124" t="s">
        <v>392</v>
      </c>
      <c r="G110" s="81" t="s">
        <v>393</v>
      </c>
      <c r="H110" s="72" t="s">
        <v>358</v>
      </c>
      <c r="I110" s="73" t="s">
        <v>173</v>
      </c>
    </row>
    <row r="111" spans="1:9" ht="15" customHeight="1">
      <c r="A111" s="267"/>
      <c r="B111" s="273"/>
      <c r="C111" s="102">
        <v>134169</v>
      </c>
      <c r="D111" s="73" t="s">
        <v>156</v>
      </c>
      <c r="E111" s="73" t="str">
        <f t="shared" si="2"/>
        <v>134169,</v>
      </c>
      <c r="F111" s="124" t="s">
        <v>394</v>
      </c>
      <c r="G111" s="81" t="s">
        <v>367</v>
      </c>
      <c r="H111" s="72" t="s">
        <v>358</v>
      </c>
      <c r="I111" s="73" t="s">
        <v>173</v>
      </c>
    </row>
    <row r="112" spans="1:9" ht="15" customHeight="1">
      <c r="A112" s="267"/>
      <c r="B112" s="273"/>
      <c r="C112" s="102">
        <v>134171</v>
      </c>
      <c r="D112" s="73" t="s">
        <v>156</v>
      </c>
      <c r="E112" s="73" t="str">
        <f t="shared" si="2"/>
        <v>134171,</v>
      </c>
      <c r="F112" s="124" t="s">
        <v>395</v>
      </c>
      <c r="G112" s="81" t="s">
        <v>396</v>
      </c>
      <c r="H112" s="72" t="s">
        <v>358</v>
      </c>
      <c r="I112" s="73" t="s">
        <v>173</v>
      </c>
    </row>
    <row r="113" spans="1:9" ht="15" customHeight="1">
      <c r="A113" s="267"/>
      <c r="B113" s="273"/>
      <c r="C113" s="102">
        <v>131921</v>
      </c>
      <c r="D113" s="73" t="s">
        <v>156</v>
      </c>
      <c r="E113" s="73" t="str">
        <f t="shared" si="2"/>
        <v>131921,</v>
      </c>
      <c r="F113" s="124" t="s">
        <v>397</v>
      </c>
      <c r="G113" s="81" t="s">
        <v>371</v>
      </c>
      <c r="H113" s="72" t="s">
        <v>358</v>
      </c>
      <c r="I113" s="73" t="s">
        <v>173</v>
      </c>
    </row>
    <row r="114" spans="1:9" ht="15" customHeight="1">
      <c r="A114" s="267"/>
      <c r="B114" s="273"/>
      <c r="C114" s="102">
        <v>137325</v>
      </c>
      <c r="D114" s="73" t="s">
        <v>156</v>
      </c>
      <c r="E114" s="73" t="str">
        <f t="shared" si="2"/>
        <v>137325,</v>
      </c>
      <c r="F114" s="124" t="s">
        <v>398</v>
      </c>
      <c r="G114" s="81" t="s">
        <v>399</v>
      </c>
      <c r="H114" s="72" t="s">
        <v>358</v>
      </c>
      <c r="I114" s="73" t="s">
        <v>173</v>
      </c>
    </row>
    <row r="115" spans="1:9" ht="15" customHeight="1">
      <c r="A115" s="267"/>
      <c r="B115" s="273"/>
      <c r="C115" s="102">
        <v>137359</v>
      </c>
      <c r="D115" s="73" t="s">
        <v>156</v>
      </c>
      <c r="E115" s="73" t="str">
        <f t="shared" si="2"/>
        <v>137359,</v>
      </c>
      <c r="F115" s="124" t="s">
        <v>400</v>
      </c>
      <c r="G115" s="81" t="s">
        <v>401</v>
      </c>
      <c r="H115" s="72" t="s">
        <v>358</v>
      </c>
      <c r="I115" s="73" t="s">
        <v>173</v>
      </c>
    </row>
    <row r="116" spans="1:9" ht="15" customHeight="1">
      <c r="A116" s="267"/>
      <c r="B116" s="273"/>
      <c r="C116" s="102">
        <v>137339</v>
      </c>
      <c r="D116" s="73" t="s">
        <v>156</v>
      </c>
      <c r="E116" s="73" t="str">
        <f t="shared" si="2"/>
        <v>137339,</v>
      </c>
      <c r="F116" s="124" t="s">
        <v>402</v>
      </c>
      <c r="G116" s="81" t="s">
        <v>403</v>
      </c>
      <c r="H116" s="72" t="s">
        <v>358</v>
      </c>
      <c r="I116" s="73" t="s">
        <v>173</v>
      </c>
    </row>
    <row r="117" spans="1:9" ht="15" customHeight="1">
      <c r="A117" s="267"/>
      <c r="B117" s="273"/>
      <c r="C117" s="102">
        <v>134170</v>
      </c>
      <c r="D117" s="73" t="s">
        <v>156</v>
      </c>
      <c r="E117" s="73" t="str">
        <f t="shared" si="2"/>
        <v>134170,</v>
      </c>
      <c r="F117" s="124" t="s">
        <v>404</v>
      </c>
      <c r="G117" s="81" t="s">
        <v>350</v>
      </c>
      <c r="H117" s="72" t="s">
        <v>358</v>
      </c>
      <c r="I117" s="73" t="s">
        <v>173</v>
      </c>
    </row>
    <row r="118" spans="1:9" ht="15" customHeight="1">
      <c r="A118" s="267"/>
      <c r="B118" s="273"/>
      <c r="C118" s="102">
        <v>138699</v>
      </c>
      <c r="D118" s="73" t="s">
        <v>156</v>
      </c>
      <c r="E118" s="73" t="str">
        <f t="shared" si="2"/>
        <v>138699,</v>
      </c>
      <c r="F118" s="124" t="s">
        <v>405</v>
      </c>
      <c r="G118" s="81" t="s">
        <v>406</v>
      </c>
      <c r="H118" s="72" t="s">
        <v>358</v>
      </c>
      <c r="I118" s="73" t="s">
        <v>173</v>
      </c>
    </row>
    <row r="119" spans="1:9" ht="15" customHeight="1">
      <c r="A119" s="267"/>
      <c r="B119" s="273"/>
      <c r="C119" s="102">
        <v>138710</v>
      </c>
      <c r="D119" s="73" t="s">
        <v>156</v>
      </c>
      <c r="E119" s="73" t="str">
        <f t="shared" si="2"/>
        <v>138710,</v>
      </c>
      <c r="F119" s="124" t="s">
        <v>407</v>
      </c>
      <c r="G119" s="81" t="s">
        <v>408</v>
      </c>
      <c r="H119" s="72" t="s">
        <v>358</v>
      </c>
      <c r="I119" s="73" t="s">
        <v>173</v>
      </c>
    </row>
    <row r="120" spans="1:9" ht="15" customHeight="1">
      <c r="A120" s="267"/>
      <c r="B120" s="273"/>
      <c r="C120" s="102">
        <v>140499</v>
      </c>
      <c r="D120" s="73" t="s">
        <v>156</v>
      </c>
      <c r="E120" s="73" t="str">
        <f t="shared" si="2"/>
        <v>140499,</v>
      </c>
      <c r="F120" s="124" t="s">
        <v>409</v>
      </c>
      <c r="G120" s="81" t="s">
        <v>410</v>
      </c>
      <c r="H120" s="72" t="s">
        <v>358</v>
      </c>
      <c r="I120" s="73" t="s">
        <v>173</v>
      </c>
    </row>
    <row r="121" spans="1:9" ht="15" customHeight="1">
      <c r="A121" s="267"/>
      <c r="B121" s="273"/>
      <c r="C121" s="102">
        <v>140517</v>
      </c>
      <c r="D121" s="73" t="s">
        <v>156</v>
      </c>
      <c r="E121" s="73" t="str">
        <f t="shared" si="2"/>
        <v>140517,</v>
      </c>
      <c r="F121" s="124" t="s">
        <v>409</v>
      </c>
      <c r="G121" s="81" t="s">
        <v>411</v>
      </c>
      <c r="H121" s="72" t="s">
        <v>358</v>
      </c>
      <c r="I121" s="73" t="s">
        <v>263</v>
      </c>
    </row>
    <row r="122" spans="1:9" ht="15" customHeight="1">
      <c r="A122" s="267"/>
      <c r="B122" s="273"/>
      <c r="C122" s="102">
        <v>140507</v>
      </c>
      <c r="D122" s="73" t="s">
        <v>156</v>
      </c>
      <c r="E122" s="73" t="str">
        <f t="shared" si="2"/>
        <v>140507,</v>
      </c>
      <c r="F122" s="124" t="s">
        <v>412</v>
      </c>
      <c r="G122" s="81" t="s">
        <v>413</v>
      </c>
      <c r="H122" s="72" t="s">
        <v>358</v>
      </c>
      <c r="I122" s="73" t="s">
        <v>263</v>
      </c>
    </row>
    <row r="123" spans="1:9" ht="15" customHeight="1">
      <c r="A123" s="267"/>
      <c r="B123" s="273"/>
      <c r="C123" s="102">
        <v>84294</v>
      </c>
      <c r="D123" s="73" t="s">
        <v>156</v>
      </c>
      <c r="E123" s="73" t="str">
        <f t="shared" si="2"/>
        <v>84294,</v>
      </c>
      <c r="F123" s="124" t="s">
        <v>414</v>
      </c>
      <c r="G123" s="81" t="s">
        <v>415</v>
      </c>
      <c r="H123" s="72" t="s">
        <v>358</v>
      </c>
      <c r="I123" s="73" t="s">
        <v>173</v>
      </c>
    </row>
    <row r="124" spans="1:9" ht="15" customHeight="1">
      <c r="A124" s="267"/>
      <c r="B124" s="273"/>
      <c r="C124" s="102">
        <v>53584</v>
      </c>
      <c r="D124" s="73" t="s">
        <v>156</v>
      </c>
      <c r="E124" s="73" t="str">
        <f t="shared" si="2"/>
        <v>53584,</v>
      </c>
      <c r="F124" s="124" t="s">
        <v>416</v>
      </c>
      <c r="G124" s="81" t="s">
        <v>417</v>
      </c>
      <c r="H124" s="72" t="s">
        <v>358</v>
      </c>
      <c r="I124" s="73" t="s">
        <v>173</v>
      </c>
    </row>
    <row r="125" spans="1:9" ht="15" customHeight="1">
      <c r="A125" s="267"/>
      <c r="B125" s="273"/>
      <c r="C125" s="102">
        <v>143228</v>
      </c>
      <c r="D125" s="73" t="s">
        <v>156</v>
      </c>
      <c r="E125" s="73" t="str">
        <f t="shared" si="2"/>
        <v>143228,</v>
      </c>
      <c r="F125" s="124" t="s">
        <v>418</v>
      </c>
      <c r="G125" s="81" t="s">
        <v>419</v>
      </c>
      <c r="H125" s="72" t="s">
        <v>358</v>
      </c>
      <c r="I125" s="73" t="s">
        <v>160</v>
      </c>
    </row>
    <row r="126" spans="1:9" ht="15" customHeight="1">
      <c r="A126" s="267"/>
      <c r="B126" s="273"/>
      <c r="C126" s="102">
        <v>162875</v>
      </c>
      <c r="D126" s="73" t="s">
        <v>156</v>
      </c>
      <c r="E126" s="73" t="str">
        <f t="shared" si="2"/>
        <v>162875,</v>
      </c>
      <c r="F126" s="124" t="s">
        <v>420</v>
      </c>
      <c r="G126" s="81" t="s">
        <v>421</v>
      </c>
      <c r="H126" s="72" t="s">
        <v>358</v>
      </c>
      <c r="I126" s="73" t="s">
        <v>160</v>
      </c>
    </row>
    <row r="127" spans="1:9" ht="15" customHeight="1">
      <c r="A127" s="267"/>
      <c r="B127" s="273"/>
      <c r="C127" s="102">
        <v>162305</v>
      </c>
      <c r="D127" s="73" t="s">
        <v>156</v>
      </c>
      <c r="E127" s="73" t="str">
        <f t="shared" si="2"/>
        <v>162305,</v>
      </c>
      <c r="F127" s="124" t="s">
        <v>420</v>
      </c>
      <c r="G127" s="81" t="s">
        <v>422</v>
      </c>
      <c r="H127" s="72" t="s">
        <v>358</v>
      </c>
      <c r="I127" s="73" t="s">
        <v>160</v>
      </c>
    </row>
    <row r="128" spans="1:9" ht="15" customHeight="1">
      <c r="A128" s="267"/>
      <c r="B128" s="273"/>
      <c r="C128" s="102">
        <v>161990</v>
      </c>
      <c r="D128" s="73" t="s">
        <v>156</v>
      </c>
      <c r="E128" s="73" t="str">
        <f t="shared" si="2"/>
        <v>161990,</v>
      </c>
      <c r="F128" s="124" t="s">
        <v>423</v>
      </c>
      <c r="G128" s="81" t="s">
        <v>424</v>
      </c>
      <c r="H128" s="72" t="s">
        <v>358</v>
      </c>
      <c r="I128" s="73" t="s">
        <v>160</v>
      </c>
    </row>
    <row r="129" spans="1:9" ht="15" customHeight="1">
      <c r="A129" s="267"/>
      <c r="B129" s="273"/>
      <c r="C129" s="102">
        <v>161997</v>
      </c>
      <c r="D129" s="73" t="s">
        <v>156</v>
      </c>
      <c r="E129" s="73" t="str">
        <f t="shared" si="2"/>
        <v>161997,</v>
      </c>
      <c r="F129" s="124" t="s">
        <v>425</v>
      </c>
      <c r="G129" s="81" t="s">
        <v>426</v>
      </c>
      <c r="H129" s="72" t="s">
        <v>358</v>
      </c>
      <c r="I129" s="73" t="s">
        <v>173</v>
      </c>
    </row>
    <row r="130" spans="1:9" ht="15" customHeight="1">
      <c r="A130" s="267"/>
      <c r="B130" s="273"/>
      <c r="C130" s="102">
        <v>161999</v>
      </c>
      <c r="D130" s="73" t="s">
        <v>156</v>
      </c>
      <c r="E130" s="73" t="str">
        <f t="shared" si="2"/>
        <v>161999,</v>
      </c>
      <c r="F130" s="124" t="s">
        <v>427</v>
      </c>
      <c r="G130" s="81" t="s">
        <v>428</v>
      </c>
      <c r="H130" s="72" t="s">
        <v>358</v>
      </c>
      <c r="I130" s="73" t="s">
        <v>160</v>
      </c>
    </row>
    <row r="131" spans="1:9" ht="15" customHeight="1">
      <c r="A131" s="267"/>
      <c r="B131" s="273"/>
      <c r="C131" s="102">
        <v>161988</v>
      </c>
      <c r="D131" s="73" t="s">
        <v>156</v>
      </c>
      <c r="E131" s="73" t="str">
        <f t="shared" si="2"/>
        <v>161988,</v>
      </c>
      <c r="F131" s="124" t="s">
        <v>429</v>
      </c>
      <c r="G131" s="81" t="s">
        <v>430</v>
      </c>
      <c r="H131" s="72" t="s">
        <v>358</v>
      </c>
      <c r="I131" s="73" t="s">
        <v>173</v>
      </c>
    </row>
    <row r="132" spans="1:9" ht="15" customHeight="1">
      <c r="A132" s="267"/>
      <c r="B132" s="273"/>
      <c r="C132" s="102">
        <v>162012</v>
      </c>
      <c r="D132" s="73" t="s">
        <v>156</v>
      </c>
      <c r="E132" s="73" t="str">
        <f t="shared" si="2"/>
        <v>162012,</v>
      </c>
      <c r="F132" s="124" t="s">
        <v>431</v>
      </c>
      <c r="G132" s="81" t="s">
        <v>432</v>
      </c>
      <c r="H132" s="72" t="s">
        <v>358</v>
      </c>
      <c r="I132" s="73" t="s">
        <v>160</v>
      </c>
    </row>
    <row r="133" spans="1:9" ht="15" customHeight="1">
      <c r="A133" s="267"/>
      <c r="B133" s="273"/>
      <c r="C133" s="102">
        <v>153140</v>
      </c>
      <c r="D133" s="73" t="s">
        <v>156</v>
      </c>
      <c r="E133" s="73" t="str">
        <f t="shared" si="2"/>
        <v>153140,</v>
      </c>
      <c r="F133" s="124" t="s">
        <v>433</v>
      </c>
      <c r="G133" s="81" t="s">
        <v>434</v>
      </c>
      <c r="H133" s="72" t="s">
        <v>358</v>
      </c>
      <c r="I133" s="73" t="s">
        <v>160</v>
      </c>
    </row>
    <row r="134" spans="1:9" ht="15" customHeight="1">
      <c r="A134" s="267"/>
      <c r="B134" s="273"/>
      <c r="C134" s="102">
        <v>162041</v>
      </c>
      <c r="D134" s="73" t="s">
        <v>156</v>
      </c>
      <c r="E134" s="73" t="str">
        <f t="shared" si="2"/>
        <v>162041,</v>
      </c>
      <c r="F134" s="124" t="s">
        <v>429</v>
      </c>
      <c r="G134" s="81" t="s">
        <v>435</v>
      </c>
      <c r="H134" s="72" t="s">
        <v>358</v>
      </c>
      <c r="I134" s="73" t="s">
        <v>160</v>
      </c>
    </row>
    <row r="135" spans="1:9" ht="15" customHeight="1">
      <c r="A135" s="267"/>
      <c r="B135" s="273"/>
      <c r="C135" s="102">
        <v>162057</v>
      </c>
      <c r="D135" s="73" t="s">
        <v>156</v>
      </c>
      <c r="E135" s="73" t="str">
        <f t="shared" si="2"/>
        <v>162057,</v>
      </c>
      <c r="F135" s="124" t="s">
        <v>427</v>
      </c>
      <c r="G135" s="81" t="s">
        <v>436</v>
      </c>
      <c r="H135" s="72" t="s">
        <v>358</v>
      </c>
      <c r="I135" s="73" t="s">
        <v>173</v>
      </c>
    </row>
    <row r="136" spans="1:9" ht="15" customHeight="1">
      <c r="A136" s="267"/>
      <c r="B136" s="273"/>
      <c r="C136" s="102">
        <v>154689</v>
      </c>
      <c r="D136" s="73" t="s">
        <v>156</v>
      </c>
      <c r="E136" s="73" t="str">
        <f t="shared" si="2"/>
        <v>154689,</v>
      </c>
      <c r="F136" s="124" t="s">
        <v>283</v>
      </c>
      <c r="G136" s="81" t="s">
        <v>437</v>
      </c>
      <c r="H136" s="72" t="s">
        <v>438</v>
      </c>
      <c r="I136" s="73" t="s">
        <v>173</v>
      </c>
    </row>
    <row r="137" spans="1:9" ht="15" customHeight="1">
      <c r="A137" s="267"/>
      <c r="B137" s="273"/>
      <c r="C137" s="102">
        <v>137337</v>
      </c>
      <c r="D137" s="73" t="s">
        <v>156</v>
      </c>
      <c r="E137" s="73" t="str">
        <f t="shared" si="2"/>
        <v>137337,</v>
      </c>
      <c r="F137" s="124" t="s">
        <v>439</v>
      </c>
      <c r="G137" s="81" t="s">
        <v>440</v>
      </c>
      <c r="H137" s="72" t="s">
        <v>441</v>
      </c>
      <c r="I137" s="73" t="s">
        <v>173</v>
      </c>
    </row>
    <row r="138" spans="1:9" ht="15" customHeight="1">
      <c r="A138" s="267"/>
      <c r="B138" s="273"/>
      <c r="C138" s="102">
        <v>140498</v>
      </c>
      <c r="D138" s="73" t="s">
        <v>156</v>
      </c>
      <c r="E138" s="73" t="str">
        <f t="shared" si="2"/>
        <v>140498,</v>
      </c>
      <c r="F138" s="124" t="s">
        <v>442</v>
      </c>
      <c r="G138" s="81" t="s">
        <v>443</v>
      </c>
      <c r="H138" s="72" t="s">
        <v>441</v>
      </c>
      <c r="I138" s="73" t="s">
        <v>263</v>
      </c>
    </row>
    <row r="139" spans="1:9" ht="15" customHeight="1">
      <c r="A139" s="267"/>
      <c r="B139" s="273"/>
      <c r="C139" s="102">
        <v>162622</v>
      </c>
      <c r="D139" s="73" t="s">
        <v>156</v>
      </c>
      <c r="E139" s="73" t="str">
        <f t="shared" si="2"/>
        <v>162622,</v>
      </c>
      <c r="F139" s="124" t="s">
        <v>444</v>
      </c>
      <c r="G139" s="81" t="s">
        <v>445</v>
      </c>
      <c r="H139" s="72" t="s">
        <v>446</v>
      </c>
      <c r="I139" s="73" t="s">
        <v>263</v>
      </c>
    </row>
    <row r="140" spans="1:9" ht="15" customHeight="1">
      <c r="A140" s="267"/>
      <c r="B140" s="273"/>
      <c r="C140" s="102">
        <v>155247</v>
      </c>
      <c r="D140" s="73" t="s">
        <v>156</v>
      </c>
      <c r="E140" s="73" t="str">
        <f t="shared" si="2"/>
        <v>155247,</v>
      </c>
      <c r="F140" s="124" t="s">
        <v>447</v>
      </c>
      <c r="G140" s="81" t="s">
        <v>448</v>
      </c>
      <c r="H140" s="72" t="s">
        <v>449</v>
      </c>
      <c r="I140" s="73" t="s">
        <v>160</v>
      </c>
    </row>
    <row r="141" spans="1:9" ht="15" customHeight="1">
      <c r="A141" s="267"/>
      <c r="B141" s="273"/>
      <c r="C141" s="102">
        <v>160067</v>
      </c>
      <c r="D141" s="73" t="s">
        <v>156</v>
      </c>
      <c r="E141" s="73" t="str">
        <f t="shared" si="2"/>
        <v>160067,</v>
      </c>
      <c r="F141" s="124" t="s">
        <v>450</v>
      </c>
      <c r="G141" s="81" t="s">
        <v>451</v>
      </c>
      <c r="H141" s="72" t="s">
        <v>449</v>
      </c>
      <c r="I141" s="73" t="s">
        <v>173</v>
      </c>
    </row>
    <row r="142" spans="1:9" ht="15" customHeight="1">
      <c r="A142" s="267"/>
      <c r="B142" s="273"/>
      <c r="C142" s="102">
        <v>159519</v>
      </c>
      <c r="D142" s="73" t="s">
        <v>156</v>
      </c>
      <c r="E142" s="73" t="str">
        <f t="shared" si="2"/>
        <v>159519,</v>
      </c>
      <c r="F142" s="124" t="s">
        <v>452</v>
      </c>
      <c r="G142" s="81" t="s">
        <v>453</v>
      </c>
      <c r="H142" s="72" t="s">
        <v>454</v>
      </c>
      <c r="I142" s="73" t="s">
        <v>160</v>
      </c>
    </row>
    <row r="143" spans="1:9" ht="15" customHeight="1">
      <c r="A143" s="267"/>
      <c r="B143" s="273"/>
      <c r="C143" s="102">
        <v>159520</v>
      </c>
      <c r="D143" s="73" t="s">
        <v>156</v>
      </c>
      <c r="E143" s="73" t="str">
        <f t="shared" si="2"/>
        <v>159520,</v>
      </c>
      <c r="F143" s="124" t="s">
        <v>455</v>
      </c>
      <c r="G143" s="81" t="s">
        <v>456</v>
      </c>
      <c r="H143" s="72" t="s">
        <v>454</v>
      </c>
      <c r="I143" s="73" t="s">
        <v>160</v>
      </c>
    </row>
    <row r="144" spans="1:9" ht="15" customHeight="1">
      <c r="A144" s="267"/>
      <c r="B144" s="273"/>
      <c r="C144" s="102">
        <v>128495</v>
      </c>
      <c r="D144" s="73" t="s">
        <v>156</v>
      </c>
      <c r="E144" s="73" t="str">
        <f t="shared" si="2"/>
        <v>128495,</v>
      </c>
      <c r="F144" s="124" t="s">
        <v>457</v>
      </c>
      <c r="G144" s="81" t="s">
        <v>350</v>
      </c>
      <c r="H144" s="72" t="s">
        <v>454</v>
      </c>
      <c r="I144" s="73" t="s">
        <v>173</v>
      </c>
    </row>
    <row r="145" spans="1:9" ht="15" customHeight="1">
      <c r="A145" s="267"/>
      <c r="B145" s="273"/>
      <c r="C145" s="102">
        <v>159522</v>
      </c>
      <c r="D145" s="73" t="s">
        <v>156</v>
      </c>
      <c r="E145" s="73" t="str">
        <f t="shared" si="2"/>
        <v>159522,</v>
      </c>
      <c r="F145" s="124" t="s">
        <v>458</v>
      </c>
      <c r="G145" s="81" t="s">
        <v>459</v>
      </c>
      <c r="H145" s="72" t="s">
        <v>454</v>
      </c>
      <c r="I145" s="73" t="s">
        <v>160</v>
      </c>
    </row>
    <row r="146" spans="1:9" ht="15" customHeight="1">
      <c r="A146" s="267"/>
      <c r="B146" s="273"/>
      <c r="C146" s="102">
        <v>159523</v>
      </c>
      <c r="D146" s="73" t="s">
        <v>156</v>
      </c>
      <c r="E146" s="73" t="str">
        <f t="shared" si="2"/>
        <v>159523,</v>
      </c>
      <c r="F146" s="124" t="s">
        <v>460</v>
      </c>
      <c r="G146" s="81" t="s">
        <v>461</v>
      </c>
      <c r="H146" s="72" t="s">
        <v>454</v>
      </c>
      <c r="I146" s="73" t="s">
        <v>160</v>
      </c>
    </row>
    <row r="147" spans="1:9" ht="15" customHeight="1">
      <c r="A147" s="267"/>
      <c r="B147" s="273"/>
      <c r="C147" s="102">
        <v>159536</v>
      </c>
      <c r="D147" s="73" t="s">
        <v>156</v>
      </c>
      <c r="E147" s="73" t="str">
        <f t="shared" si="2"/>
        <v>159536,</v>
      </c>
      <c r="F147" s="124" t="s">
        <v>462</v>
      </c>
      <c r="G147" s="81" t="s">
        <v>463</v>
      </c>
      <c r="H147" s="72" t="s">
        <v>454</v>
      </c>
      <c r="I147" s="73" t="s">
        <v>160</v>
      </c>
    </row>
    <row r="148" spans="1:9" ht="15" customHeight="1">
      <c r="A148" s="267"/>
      <c r="B148" s="273"/>
      <c r="C148" s="102">
        <v>159521</v>
      </c>
      <c r="D148" s="73" t="s">
        <v>156</v>
      </c>
      <c r="E148" s="73" t="str">
        <f t="shared" si="2"/>
        <v>159521,</v>
      </c>
      <c r="F148" s="124" t="s">
        <v>464</v>
      </c>
      <c r="G148" s="81" t="s">
        <v>465</v>
      </c>
      <c r="H148" s="72" t="s">
        <v>454</v>
      </c>
      <c r="I148" s="73" t="s">
        <v>160</v>
      </c>
    </row>
    <row r="149" spans="1:9" ht="15" customHeight="1">
      <c r="A149" s="267"/>
      <c r="B149" s="273"/>
      <c r="C149" s="102">
        <v>104016</v>
      </c>
      <c r="D149" s="73" t="s">
        <v>156</v>
      </c>
      <c r="E149" s="73" t="str">
        <f t="shared" si="2"/>
        <v>104016,</v>
      </c>
      <c r="F149" s="124" t="s">
        <v>466</v>
      </c>
      <c r="G149" s="81" t="s">
        <v>467</v>
      </c>
      <c r="H149" s="72" t="s">
        <v>454</v>
      </c>
      <c r="I149" s="73" t="s">
        <v>173</v>
      </c>
    </row>
    <row r="150" spans="1:9" ht="15" customHeight="1">
      <c r="A150" s="267"/>
      <c r="B150" s="273"/>
      <c r="C150" s="102">
        <v>159507</v>
      </c>
      <c r="D150" s="73" t="s">
        <v>156</v>
      </c>
      <c r="E150" s="73" t="str">
        <f t="shared" si="2"/>
        <v>159507,</v>
      </c>
      <c r="F150" s="124" t="s">
        <v>468</v>
      </c>
      <c r="G150" s="81" t="s">
        <v>469</v>
      </c>
      <c r="H150" s="72" t="s">
        <v>454</v>
      </c>
      <c r="I150" s="73" t="s">
        <v>160</v>
      </c>
    </row>
    <row r="151" spans="1:9" ht="15" customHeight="1">
      <c r="A151" s="267"/>
      <c r="B151" s="273"/>
      <c r="C151" s="102">
        <v>159506</v>
      </c>
      <c r="D151" s="73" t="s">
        <v>156</v>
      </c>
      <c r="E151" s="73" t="str">
        <f t="shared" si="2"/>
        <v>159506,</v>
      </c>
      <c r="F151" s="124" t="s">
        <v>470</v>
      </c>
      <c r="G151" s="81" t="s">
        <v>459</v>
      </c>
      <c r="H151" s="72" t="s">
        <v>454</v>
      </c>
      <c r="I151" s="73" t="s">
        <v>160</v>
      </c>
    </row>
    <row r="152" spans="1:9" ht="15" customHeight="1">
      <c r="A152" s="267"/>
      <c r="B152" s="273"/>
      <c r="C152" s="102">
        <v>159509</v>
      </c>
      <c r="D152" s="73" t="s">
        <v>156</v>
      </c>
      <c r="E152" s="73" t="str">
        <f t="shared" si="2"/>
        <v>159509,</v>
      </c>
      <c r="F152" s="124" t="s">
        <v>471</v>
      </c>
      <c r="G152" s="81" t="s">
        <v>472</v>
      </c>
      <c r="H152" s="72" t="s">
        <v>454</v>
      </c>
      <c r="I152" s="73" t="s">
        <v>160</v>
      </c>
    </row>
    <row r="153" spans="1:9" ht="15" customHeight="1">
      <c r="A153" s="267"/>
      <c r="B153" s="273"/>
      <c r="C153" s="102">
        <v>159510</v>
      </c>
      <c r="D153" s="73" t="s">
        <v>156</v>
      </c>
      <c r="E153" s="73" t="str">
        <f t="shared" si="2"/>
        <v>159510,</v>
      </c>
      <c r="F153" s="124" t="s">
        <v>473</v>
      </c>
      <c r="G153" s="81" t="s">
        <v>474</v>
      </c>
      <c r="H153" s="72" t="s">
        <v>454</v>
      </c>
      <c r="I153" s="73" t="s">
        <v>160</v>
      </c>
    </row>
    <row r="154" spans="1:9" ht="15" customHeight="1">
      <c r="A154" s="267"/>
      <c r="B154" s="273"/>
      <c r="C154" s="102">
        <v>159512</v>
      </c>
      <c r="D154" s="73" t="s">
        <v>156</v>
      </c>
      <c r="E154" s="73" t="str">
        <f t="shared" si="2"/>
        <v>159512,</v>
      </c>
      <c r="F154" s="124" t="s">
        <v>475</v>
      </c>
      <c r="G154" s="81" t="s">
        <v>476</v>
      </c>
      <c r="H154" s="72" t="s">
        <v>454</v>
      </c>
      <c r="I154" s="73" t="s">
        <v>160</v>
      </c>
    </row>
    <row r="155" spans="1:9" ht="15" customHeight="1">
      <c r="A155" s="267"/>
      <c r="B155" s="273"/>
      <c r="C155" s="102">
        <v>159511</v>
      </c>
      <c r="D155" s="73" t="s">
        <v>156</v>
      </c>
      <c r="E155" s="73" t="str">
        <f t="shared" si="2"/>
        <v>159511,</v>
      </c>
      <c r="F155" s="124" t="s">
        <v>477</v>
      </c>
      <c r="G155" s="81" t="s">
        <v>478</v>
      </c>
      <c r="H155" s="72" t="s">
        <v>454</v>
      </c>
      <c r="I155" s="73" t="s">
        <v>160</v>
      </c>
    </row>
    <row r="156" spans="1:9" ht="15" customHeight="1">
      <c r="A156" s="267"/>
      <c r="B156" s="273"/>
      <c r="C156" s="102">
        <v>159514</v>
      </c>
      <c r="D156" s="73" t="s">
        <v>156</v>
      </c>
      <c r="E156" s="73" t="str">
        <f t="shared" si="2"/>
        <v>159514,</v>
      </c>
      <c r="F156" s="124" t="s">
        <v>479</v>
      </c>
      <c r="G156" s="81" t="s">
        <v>453</v>
      </c>
      <c r="H156" s="72" t="s">
        <v>454</v>
      </c>
      <c r="I156" s="73" t="s">
        <v>160</v>
      </c>
    </row>
    <row r="157" spans="1:9" ht="15" customHeight="1">
      <c r="A157" s="267"/>
      <c r="B157" s="273"/>
      <c r="C157" s="102">
        <v>159517</v>
      </c>
      <c r="D157" s="73" t="s">
        <v>156</v>
      </c>
      <c r="E157" s="73" t="str">
        <f t="shared" si="2"/>
        <v>159517,</v>
      </c>
      <c r="F157" s="124" t="s">
        <v>480</v>
      </c>
      <c r="G157" s="81" t="s">
        <v>481</v>
      </c>
      <c r="H157" s="72" t="s">
        <v>454</v>
      </c>
      <c r="I157" s="73" t="s">
        <v>160</v>
      </c>
    </row>
    <row r="158" spans="1:9" ht="15" customHeight="1">
      <c r="A158" s="267"/>
      <c r="B158" s="273"/>
      <c r="C158" s="102">
        <v>159515</v>
      </c>
      <c r="D158" s="73" t="s">
        <v>156</v>
      </c>
      <c r="E158" s="73" t="str">
        <f t="shared" si="2"/>
        <v>159515,</v>
      </c>
      <c r="F158" s="81" t="s">
        <v>482</v>
      </c>
      <c r="G158" s="81" t="s">
        <v>453</v>
      </c>
      <c r="H158" s="72" t="s">
        <v>454</v>
      </c>
      <c r="I158" s="73" t="s">
        <v>160</v>
      </c>
    </row>
    <row r="159" spans="1:9" ht="15" customHeight="1">
      <c r="A159" s="267"/>
      <c r="B159" s="273"/>
      <c r="C159" s="102">
        <v>159516</v>
      </c>
      <c r="D159" s="73" t="s">
        <v>156</v>
      </c>
      <c r="E159" s="73" t="str">
        <f t="shared" si="2"/>
        <v>159516,</v>
      </c>
      <c r="F159" s="124" t="s">
        <v>483</v>
      </c>
      <c r="G159" s="81" t="s">
        <v>465</v>
      </c>
      <c r="H159" s="72" t="s">
        <v>454</v>
      </c>
      <c r="I159" s="73" t="s">
        <v>160</v>
      </c>
    </row>
    <row r="160" spans="1:9" ht="15" customHeight="1">
      <c r="A160" s="267"/>
      <c r="B160" s="273"/>
      <c r="C160" s="102">
        <v>159518</v>
      </c>
      <c r="D160" s="73" t="s">
        <v>156</v>
      </c>
      <c r="E160" s="73" t="str">
        <f t="shared" si="2"/>
        <v>159518,</v>
      </c>
      <c r="F160" s="124" t="s">
        <v>484</v>
      </c>
      <c r="G160" s="81" t="s">
        <v>485</v>
      </c>
      <c r="H160" s="72" t="s">
        <v>454</v>
      </c>
      <c r="I160" s="73" t="s">
        <v>160</v>
      </c>
    </row>
    <row r="161" spans="1:9" ht="15" customHeight="1">
      <c r="A161" s="267"/>
      <c r="B161" s="273"/>
      <c r="C161" s="102">
        <v>111002</v>
      </c>
      <c r="D161" s="73" t="s">
        <v>156</v>
      </c>
      <c r="E161" s="73" t="str">
        <f t="shared" si="2"/>
        <v>111002,</v>
      </c>
      <c r="F161" s="124" t="s">
        <v>486</v>
      </c>
      <c r="G161" s="81" t="s">
        <v>364</v>
      </c>
      <c r="H161" s="72" t="s">
        <v>454</v>
      </c>
      <c r="I161" s="73" t="s">
        <v>173</v>
      </c>
    </row>
    <row r="162" spans="1:9" ht="15" customHeight="1">
      <c r="A162" s="267"/>
      <c r="B162" s="273"/>
      <c r="C162" s="102">
        <v>120756</v>
      </c>
      <c r="D162" s="73" t="s">
        <v>156</v>
      </c>
      <c r="E162" s="73" t="str">
        <f t="shared" si="2"/>
        <v>120756,</v>
      </c>
      <c r="F162" s="124" t="s">
        <v>487</v>
      </c>
      <c r="G162" s="81" t="s">
        <v>364</v>
      </c>
      <c r="H162" s="72" t="s">
        <v>454</v>
      </c>
      <c r="I162" s="73" t="s">
        <v>173</v>
      </c>
    </row>
    <row r="163" spans="1:9" ht="15" customHeight="1">
      <c r="A163" s="267"/>
      <c r="B163" s="273"/>
      <c r="C163" s="102">
        <v>128521</v>
      </c>
      <c r="D163" s="73" t="s">
        <v>156</v>
      </c>
      <c r="E163" s="73" t="str">
        <f t="shared" si="2"/>
        <v>128521,</v>
      </c>
      <c r="F163" s="124" t="s">
        <v>488</v>
      </c>
      <c r="G163" s="81" t="s">
        <v>489</v>
      </c>
      <c r="H163" s="72" t="s">
        <v>454</v>
      </c>
      <c r="I163" s="73" t="s">
        <v>173</v>
      </c>
    </row>
    <row r="164" spans="1:9" ht="15" customHeight="1">
      <c r="A164" s="267"/>
      <c r="B164" s="273"/>
      <c r="C164" s="102">
        <v>147339</v>
      </c>
      <c r="D164" s="73" t="s">
        <v>156</v>
      </c>
      <c r="E164" s="73" t="str">
        <f t="shared" si="2"/>
        <v>147339,</v>
      </c>
      <c r="F164" s="124" t="s">
        <v>490</v>
      </c>
      <c r="G164" s="81" t="s">
        <v>491</v>
      </c>
      <c r="H164" s="72" t="s">
        <v>492</v>
      </c>
      <c r="I164" s="73" t="s">
        <v>173</v>
      </c>
    </row>
    <row r="165" spans="1:9" ht="15" customHeight="1">
      <c r="A165" s="267"/>
      <c r="B165" s="273"/>
      <c r="C165" s="102">
        <v>147406</v>
      </c>
      <c r="D165" s="73" t="s">
        <v>156</v>
      </c>
      <c r="E165" s="73" t="str">
        <f t="shared" si="2"/>
        <v>147406,</v>
      </c>
      <c r="F165" s="124" t="s">
        <v>493</v>
      </c>
      <c r="G165" s="81" t="s">
        <v>494</v>
      </c>
      <c r="H165" s="72" t="s">
        <v>492</v>
      </c>
      <c r="I165" s="73" t="s">
        <v>160</v>
      </c>
    </row>
    <row r="166" spans="1:9" ht="15" customHeight="1">
      <c r="A166" s="267"/>
      <c r="B166" s="273"/>
      <c r="C166" s="102">
        <v>147407</v>
      </c>
      <c r="D166" s="73" t="s">
        <v>156</v>
      </c>
      <c r="E166" s="73" t="str">
        <f t="shared" si="2"/>
        <v>147407,</v>
      </c>
      <c r="F166" s="124" t="s">
        <v>495</v>
      </c>
      <c r="G166" s="81" t="s">
        <v>496</v>
      </c>
      <c r="H166" s="72" t="s">
        <v>492</v>
      </c>
      <c r="I166" s="73" t="s">
        <v>173</v>
      </c>
    </row>
    <row r="167" spans="1:9" ht="15" customHeight="1">
      <c r="A167" s="267"/>
      <c r="B167" s="273"/>
      <c r="C167" s="102">
        <v>147318</v>
      </c>
      <c r="D167" s="73" t="s">
        <v>156</v>
      </c>
      <c r="E167" s="73" t="str">
        <f t="shared" si="2"/>
        <v>147318,</v>
      </c>
      <c r="F167" s="124" t="s">
        <v>497</v>
      </c>
      <c r="G167" s="81" t="s">
        <v>498</v>
      </c>
      <c r="H167" s="72" t="s">
        <v>492</v>
      </c>
      <c r="I167" s="73" t="s">
        <v>173</v>
      </c>
    </row>
    <row r="168" spans="1:9" ht="15" customHeight="1">
      <c r="A168" s="267"/>
      <c r="B168" s="273"/>
      <c r="C168" s="102">
        <v>60800</v>
      </c>
      <c r="D168" s="73" t="s">
        <v>156</v>
      </c>
      <c r="E168" s="73" t="str">
        <f t="shared" si="2"/>
        <v>60800,</v>
      </c>
      <c r="F168" s="124" t="s">
        <v>499</v>
      </c>
      <c r="G168" s="81" t="s">
        <v>500</v>
      </c>
      <c r="H168" s="72" t="s">
        <v>501</v>
      </c>
      <c r="I168" s="73" t="s">
        <v>173</v>
      </c>
    </row>
    <row r="169" spans="1:9" ht="15" customHeight="1">
      <c r="A169" s="267"/>
      <c r="B169" s="273"/>
      <c r="C169" s="102">
        <v>124497</v>
      </c>
      <c r="D169" s="73" t="s">
        <v>156</v>
      </c>
      <c r="E169" s="73" t="str">
        <f t="shared" si="2"/>
        <v>124497,</v>
      </c>
      <c r="F169" s="81" t="s">
        <v>281</v>
      </c>
      <c r="G169" s="81" t="s">
        <v>502</v>
      </c>
      <c r="H169" s="72" t="s">
        <v>501</v>
      </c>
      <c r="I169" s="73" t="s">
        <v>173</v>
      </c>
    </row>
    <row r="170" spans="1:9" ht="15" customHeight="1">
      <c r="A170" s="267"/>
      <c r="B170" s="273"/>
      <c r="C170" s="102">
        <v>124503</v>
      </c>
      <c r="D170" s="73" t="s">
        <v>156</v>
      </c>
      <c r="E170" s="73" t="str">
        <f t="shared" si="2"/>
        <v>124503,</v>
      </c>
      <c r="F170" s="124" t="s">
        <v>503</v>
      </c>
      <c r="G170" s="81" t="s">
        <v>504</v>
      </c>
      <c r="H170" s="72" t="s">
        <v>501</v>
      </c>
      <c r="I170" s="73" t="s">
        <v>173</v>
      </c>
    </row>
    <row r="171" spans="1:9" ht="15" customHeight="1">
      <c r="A171" s="267"/>
      <c r="B171" s="273"/>
      <c r="C171" s="102">
        <v>147319</v>
      </c>
      <c r="D171" s="73" t="s">
        <v>156</v>
      </c>
      <c r="E171" s="73" t="str">
        <f t="shared" ref="E171:E222" si="3">C171&amp;D171</f>
        <v>147319,</v>
      </c>
      <c r="F171" s="124" t="s">
        <v>278</v>
      </c>
      <c r="G171" s="81" t="s">
        <v>505</v>
      </c>
      <c r="H171" s="72" t="s">
        <v>501</v>
      </c>
      <c r="I171" s="73" t="s">
        <v>173</v>
      </c>
    </row>
    <row r="172" spans="1:9" ht="15" customHeight="1">
      <c r="A172" s="267"/>
      <c r="B172" s="273"/>
      <c r="C172" s="102">
        <v>147426</v>
      </c>
      <c r="D172" s="73" t="s">
        <v>156</v>
      </c>
      <c r="E172" s="73" t="str">
        <f t="shared" si="3"/>
        <v>147426,</v>
      </c>
      <c r="F172" s="124" t="s">
        <v>506</v>
      </c>
      <c r="G172" s="81" t="s">
        <v>505</v>
      </c>
      <c r="H172" s="72" t="s">
        <v>501</v>
      </c>
      <c r="I172" s="73" t="s">
        <v>173</v>
      </c>
    </row>
    <row r="173" spans="1:9" ht="15" customHeight="1">
      <c r="A173" s="267"/>
      <c r="B173" s="273"/>
      <c r="C173" s="102">
        <v>82967</v>
      </c>
      <c r="D173" s="73" t="s">
        <v>156</v>
      </c>
      <c r="E173" s="73" t="str">
        <f t="shared" si="3"/>
        <v>82967,</v>
      </c>
      <c r="F173" s="124" t="s">
        <v>444</v>
      </c>
      <c r="G173" s="81" t="s">
        <v>507</v>
      </c>
      <c r="H173" s="72" t="s">
        <v>508</v>
      </c>
      <c r="I173" s="73" t="s">
        <v>263</v>
      </c>
    </row>
    <row r="174" spans="1:9" ht="15" customHeight="1">
      <c r="A174" s="267"/>
      <c r="B174" s="273"/>
      <c r="C174" s="102">
        <v>124505</v>
      </c>
      <c r="D174" s="73" t="s">
        <v>156</v>
      </c>
      <c r="E174" s="73" t="str">
        <f t="shared" si="3"/>
        <v>124505,</v>
      </c>
      <c r="F174" s="124" t="s">
        <v>509</v>
      </c>
      <c r="G174" s="81" t="s">
        <v>510</v>
      </c>
      <c r="H174" s="72" t="s">
        <v>511</v>
      </c>
      <c r="I174" s="73" t="s">
        <v>173</v>
      </c>
    </row>
    <row r="175" spans="1:9" ht="15" customHeight="1">
      <c r="A175" s="267"/>
      <c r="B175" s="273"/>
      <c r="C175" s="102">
        <v>124495</v>
      </c>
      <c r="D175" s="73" t="s">
        <v>156</v>
      </c>
      <c r="E175" s="73" t="str">
        <f t="shared" si="3"/>
        <v>124495,</v>
      </c>
      <c r="F175" s="124" t="s">
        <v>512</v>
      </c>
      <c r="G175" s="81" t="s">
        <v>346</v>
      </c>
      <c r="H175" s="72" t="s">
        <v>511</v>
      </c>
      <c r="I175" s="73" t="s">
        <v>173</v>
      </c>
    </row>
    <row r="176" spans="1:9" ht="15" customHeight="1">
      <c r="A176" s="267"/>
      <c r="B176" s="273"/>
      <c r="C176" s="102">
        <v>124498</v>
      </c>
      <c r="D176" s="73" t="s">
        <v>156</v>
      </c>
      <c r="E176" s="73" t="str">
        <f t="shared" si="3"/>
        <v>124498,</v>
      </c>
      <c r="F176" s="124" t="s">
        <v>513</v>
      </c>
      <c r="G176" s="81" t="s">
        <v>341</v>
      </c>
      <c r="H176" s="72" t="s">
        <v>511</v>
      </c>
      <c r="I176" s="73" t="s">
        <v>173</v>
      </c>
    </row>
    <row r="177" spans="1:9" ht="15" customHeight="1">
      <c r="A177" s="267"/>
      <c r="B177" s="273"/>
      <c r="C177" s="102">
        <v>142117</v>
      </c>
      <c r="D177" s="73" t="s">
        <v>156</v>
      </c>
      <c r="E177" s="73" t="str">
        <f t="shared" si="3"/>
        <v>142117,</v>
      </c>
      <c r="F177" s="81" t="s">
        <v>514</v>
      </c>
      <c r="G177" s="81" t="s">
        <v>451</v>
      </c>
      <c r="H177" s="72" t="s">
        <v>511</v>
      </c>
      <c r="I177" s="73" t="s">
        <v>173</v>
      </c>
    </row>
    <row r="178" spans="1:9" ht="15" customHeight="1">
      <c r="A178" s="267"/>
      <c r="B178" s="273"/>
      <c r="C178" s="102">
        <v>124508</v>
      </c>
      <c r="D178" s="73" t="s">
        <v>156</v>
      </c>
      <c r="E178" s="73" t="str">
        <f t="shared" si="3"/>
        <v>124508,</v>
      </c>
      <c r="F178" s="124" t="s">
        <v>515</v>
      </c>
      <c r="G178" s="81" t="s">
        <v>408</v>
      </c>
      <c r="H178" s="72" t="s">
        <v>516</v>
      </c>
      <c r="I178" s="73" t="s">
        <v>173</v>
      </c>
    </row>
    <row r="179" spans="1:9" ht="15" customHeight="1">
      <c r="A179" s="267"/>
      <c r="B179" s="273"/>
      <c r="C179" s="102">
        <v>128920</v>
      </c>
      <c r="D179" s="73" t="s">
        <v>156</v>
      </c>
      <c r="E179" s="73" t="str">
        <f t="shared" si="3"/>
        <v>128920,</v>
      </c>
      <c r="F179" s="124" t="s">
        <v>517</v>
      </c>
      <c r="G179" s="81" t="s">
        <v>518</v>
      </c>
      <c r="H179" s="72" t="s">
        <v>519</v>
      </c>
      <c r="I179" s="73" t="s">
        <v>173</v>
      </c>
    </row>
    <row r="180" spans="1:9" ht="15" customHeight="1">
      <c r="A180" s="267"/>
      <c r="B180" s="273"/>
      <c r="C180" s="102">
        <v>16682</v>
      </c>
      <c r="D180" s="73" t="s">
        <v>156</v>
      </c>
      <c r="E180" s="73" t="str">
        <f t="shared" si="3"/>
        <v>16682,</v>
      </c>
      <c r="F180" s="124" t="s">
        <v>520</v>
      </c>
      <c r="G180" s="81" t="s">
        <v>364</v>
      </c>
      <c r="H180" s="72" t="s">
        <v>521</v>
      </c>
      <c r="I180" s="73" t="s">
        <v>173</v>
      </c>
    </row>
    <row r="181" spans="1:9" ht="15" customHeight="1">
      <c r="A181" s="267"/>
      <c r="B181" s="273"/>
      <c r="C181" s="102">
        <v>47020</v>
      </c>
      <c r="D181" s="73" t="s">
        <v>156</v>
      </c>
      <c r="E181" s="73" t="str">
        <f t="shared" si="3"/>
        <v>47020,</v>
      </c>
      <c r="F181" s="124" t="s">
        <v>522</v>
      </c>
      <c r="G181" s="81" t="s">
        <v>341</v>
      </c>
      <c r="H181" s="72" t="s">
        <v>523</v>
      </c>
      <c r="I181" s="73" t="s">
        <v>173</v>
      </c>
    </row>
    <row r="182" spans="1:9" ht="15" customHeight="1">
      <c r="A182" s="267"/>
      <c r="B182" s="273"/>
      <c r="C182" s="102">
        <v>152460</v>
      </c>
      <c r="D182" s="73" t="s">
        <v>156</v>
      </c>
      <c r="E182" s="73" t="str">
        <f t="shared" si="3"/>
        <v>152460,</v>
      </c>
      <c r="F182" s="124" t="s">
        <v>524</v>
      </c>
      <c r="G182" s="81" t="s">
        <v>525</v>
      </c>
      <c r="H182" s="72" t="s">
        <v>523</v>
      </c>
      <c r="I182" s="73" t="s">
        <v>173</v>
      </c>
    </row>
    <row r="183" spans="1:9" ht="15" customHeight="1">
      <c r="A183" s="267"/>
      <c r="B183" s="273"/>
      <c r="C183" s="102">
        <v>98196</v>
      </c>
      <c r="D183" s="73" t="s">
        <v>156</v>
      </c>
      <c r="E183" s="73" t="str">
        <f t="shared" si="3"/>
        <v>98196,</v>
      </c>
      <c r="F183" s="124" t="s">
        <v>526</v>
      </c>
      <c r="G183" s="81" t="s">
        <v>527</v>
      </c>
      <c r="H183" s="72" t="s">
        <v>528</v>
      </c>
      <c r="I183" s="73" t="s">
        <v>173</v>
      </c>
    </row>
    <row r="184" spans="1:9" ht="15" customHeight="1">
      <c r="A184" s="267"/>
      <c r="B184" s="273"/>
      <c r="C184" s="102">
        <v>98194</v>
      </c>
      <c r="D184" s="73" t="s">
        <v>156</v>
      </c>
      <c r="E184" s="73" t="str">
        <f t="shared" si="3"/>
        <v>98194,</v>
      </c>
      <c r="F184" s="124" t="s">
        <v>529</v>
      </c>
      <c r="G184" s="81" t="s">
        <v>530</v>
      </c>
      <c r="H184" s="72" t="s">
        <v>528</v>
      </c>
      <c r="I184" s="73" t="s">
        <v>173</v>
      </c>
    </row>
    <row r="185" spans="1:9" ht="15" customHeight="1">
      <c r="A185" s="267"/>
      <c r="B185" s="273"/>
      <c r="C185" s="102">
        <v>96059</v>
      </c>
      <c r="D185" s="73" t="s">
        <v>156</v>
      </c>
      <c r="E185" s="73" t="str">
        <f t="shared" si="3"/>
        <v>96059,</v>
      </c>
      <c r="F185" s="124" t="s">
        <v>531</v>
      </c>
      <c r="G185" s="81" t="s">
        <v>532</v>
      </c>
      <c r="H185" s="72" t="s">
        <v>533</v>
      </c>
      <c r="I185" s="73" t="s">
        <v>173</v>
      </c>
    </row>
    <row r="186" spans="1:9" ht="15" customHeight="1">
      <c r="A186" s="267"/>
      <c r="B186" s="273"/>
      <c r="C186" s="102">
        <v>96576</v>
      </c>
      <c r="D186" s="73" t="s">
        <v>156</v>
      </c>
      <c r="E186" s="73" t="str">
        <f t="shared" si="3"/>
        <v>96576,</v>
      </c>
      <c r="F186" s="124" t="s">
        <v>534</v>
      </c>
      <c r="G186" s="81" t="s">
        <v>344</v>
      </c>
      <c r="H186" s="72" t="s">
        <v>533</v>
      </c>
      <c r="I186" s="73" t="s">
        <v>173</v>
      </c>
    </row>
    <row r="187" spans="1:9" ht="15" customHeight="1">
      <c r="A187" s="267"/>
      <c r="B187" s="273"/>
      <c r="C187" s="102">
        <v>52454</v>
      </c>
      <c r="D187" s="73" t="s">
        <v>156</v>
      </c>
      <c r="E187" s="73" t="str">
        <f t="shared" si="3"/>
        <v>52454,</v>
      </c>
      <c r="F187" s="124" t="s">
        <v>535</v>
      </c>
      <c r="G187" s="81" t="s">
        <v>502</v>
      </c>
      <c r="H187" s="72" t="s">
        <v>342</v>
      </c>
      <c r="I187" s="73" t="s">
        <v>173</v>
      </c>
    </row>
    <row r="188" spans="1:9" ht="15" customHeight="1">
      <c r="A188" s="267"/>
      <c r="B188" s="273"/>
      <c r="C188" s="102">
        <v>99943</v>
      </c>
      <c r="D188" s="73" t="s">
        <v>156</v>
      </c>
      <c r="E188" s="73" t="str">
        <f t="shared" si="3"/>
        <v>99943,</v>
      </c>
      <c r="F188" s="124" t="s">
        <v>536</v>
      </c>
      <c r="G188" s="81" t="s">
        <v>537</v>
      </c>
      <c r="H188" s="72" t="s">
        <v>342</v>
      </c>
      <c r="I188" s="73" t="s">
        <v>173</v>
      </c>
    </row>
    <row r="189" spans="1:9" ht="15" customHeight="1">
      <c r="A189" s="267"/>
      <c r="B189" s="273"/>
      <c r="C189" s="102">
        <v>110898</v>
      </c>
      <c r="D189" s="73" t="s">
        <v>156</v>
      </c>
      <c r="E189" s="73" t="str">
        <f t="shared" si="3"/>
        <v>110898,</v>
      </c>
      <c r="F189" s="124" t="s">
        <v>538</v>
      </c>
      <c r="G189" s="81" t="s">
        <v>539</v>
      </c>
      <c r="H189" s="72" t="s">
        <v>540</v>
      </c>
      <c r="I189" s="73" t="s">
        <v>173</v>
      </c>
    </row>
    <row r="190" spans="1:9" ht="15" customHeight="1">
      <c r="A190" s="267"/>
      <c r="B190" s="273"/>
      <c r="C190" s="102">
        <v>52423</v>
      </c>
      <c r="D190" s="73" t="s">
        <v>156</v>
      </c>
      <c r="E190" s="73" t="str">
        <f t="shared" si="3"/>
        <v>52423,</v>
      </c>
      <c r="F190" s="124" t="s">
        <v>541</v>
      </c>
      <c r="G190" s="81" t="s">
        <v>542</v>
      </c>
      <c r="H190" s="72" t="s">
        <v>543</v>
      </c>
      <c r="I190" s="73" t="s">
        <v>173</v>
      </c>
    </row>
    <row r="191" spans="1:9" ht="15" customHeight="1">
      <c r="A191" s="267"/>
      <c r="B191" s="273"/>
      <c r="C191" s="102">
        <v>129794</v>
      </c>
      <c r="D191" s="73" t="s">
        <v>156</v>
      </c>
      <c r="E191" s="73" t="str">
        <f t="shared" si="3"/>
        <v>129794,</v>
      </c>
      <c r="F191" s="124" t="s">
        <v>544</v>
      </c>
      <c r="G191" s="81" t="s">
        <v>545</v>
      </c>
      <c r="H191" s="72" t="s">
        <v>546</v>
      </c>
      <c r="I191" s="73" t="s">
        <v>173</v>
      </c>
    </row>
    <row r="192" spans="1:9" ht="15" customHeight="1">
      <c r="A192" s="267"/>
      <c r="B192" s="273"/>
      <c r="C192" s="102">
        <v>66931</v>
      </c>
      <c r="D192" s="73" t="s">
        <v>156</v>
      </c>
      <c r="E192" s="73" t="str">
        <f t="shared" si="3"/>
        <v>66931,</v>
      </c>
      <c r="F192" s="124" t="s">
        <v>547</v>
      </c>
      <c r="G192" s="81" t="s">
        <v>548</v>
      </c>
      <c r="H192" s="72" t="s">
        <v>306</v>
      </c>
      <c r="I192" s="73" t="s">
        <v>173</v>
      </c>
    </row>
    <row r="193" spans="1:9" ht="15" customHeight="1">
      <c r="A193" s="267"/>
      <c r="B193" s="273"/>
      <c r="C193" s="102">
        <v>72291</v>
      </c>
      <c r="D193" s="73" t="s">
        <v>156</v>
      </c>
      <c r="E193" s="73" t="str">
        <f t="shared" si="3"/>
        <v>72291,</v>
      </c>
      <c r="F193" s="124" t="s">
        <v>549</v>
      </c>
      <c r="G193" s="81" t="s">
        <v>550</v>
      </c>
      <c r="H193" s="72" t="s">
        <v>306</v>
      </c>
      <c r="I193" s="73" t="s">
        <v>173</v>
      </c>
    </row>
    <row r="194" spans="1:9" ht="15" customHeight="1">
      <c r="A194" s="267"/>
      <c r="B194" s="273"/>
      <c r="C194" s="102">
        <v>112441</v>
      </c>
      <c r="D194" s="73" t="s">
        <v>156</v>
      </c>
      <c r="E194" s="73" t="str">
        <f t="shared" si="3"/>
        <v>112441,</v>
      </c>
      <c r="F194" s="124" t="s">
        <v>551</v>
      </c>
      <c r="G194" s="81" t="s">
        <v>552</v>
      </c>
      <c r="H194" s="72" t="s">
        <v>306</v>
      </c>
      <c r="I194" s="73" t="s">
        <v>173</v>
      </c>
    </row>
    <row r="195" spans="1:9" ht="15" customHeight="1">
      <c r="A195" s="267"/>
      <c r="B195" s="273"/>
      <c r="C195" s="102">
        <v>125678</v>
      </c>
      <c r="D195" s="73" t="s">
        <v>156</v>
      </c>
      <c r="E195" s="73" t="str">
        <f t="shared" si="3"/>
        <v>125678,</v>
      </c>
      <c r="F195" s="124" t="s">
        <v>553</v>
      </c>
      <c r="G195" s="81" t="s">
        <v>554</v>
      </c>
      <c r="H195" s="72" t="s">
        <v>306</v>
      </c>
      <c r="I195" s="73" t="s">
        <v>173</v>
      </c>
    </row>
    <row r="196" spans="1:9" ht="15" customHeight="1">
      <c r="A196" s="267"/>
      <c r="B196" s="273"/>
      <c r="C196" s="102">
        <v>114019</v>
      </c>
      <c r="D196" s="73" t="s">
        <v>156</v>
      </c>
      <c r="E196" s="73" t="str">
        <f t="shared" si="3"/>
        <v>114019,</v>
      </c>
      <c r="F196" s="124" t="s">
        <v>555</v>
      </c>
      <c r="G196" s="81" t="s">
        <v>556</v>
      </c>
      <c r="H196" s="72" t="s">
        <v>306</v>
      </c>
      <c r="I196" s="73" t="s">
        <v>173</v>
      </c>
    </row>
    <row r="197" spans="1:9" ht="15" customHeight="1">
      <c r="A197" s="267"/>
      <c r="B197" s="273"/>
      <c r="C197" s="102">
        <v>113377</v>
      </c>
      <c r="D197" s="73" t="s">
        <v>156</v>
      </c>
      <c r="E197" s="73" t="str">
        <f t="shared" si="3"/>
        <v>113377,</v>
      </c>
      <c r="F197" s="124" t="s">
        <v>553</v>
      </c>
      <c r="G197" s="81" t="s">
        <v>557</v>
      </c>
      <c r="H197" s="72" t="s">
        <v>306</v>
      </c>
      <c r="I197" s="73" t="s">
        <v>173</v>
      </c>
    </row>
    <row r="198" spans="1:9" ht="15" customHeight="1">
      <c r="A198" s="267"/>
      <c r="B198" s="273"/>
      <c r="C198" s="102">
        <v>112207</v>
      </c>
      <c r="D198" s="73" t="s">
        <v>156</v>
      </c>
      <c r="E198" s="73" t="str">
        <f t="shared" si="3"/>
        <v>112207,</v>
      </c>
      <c r="F198" s="124" t="s">
        <v>558</v>
      </c>
      <c r="G198" s="81" t="s">
        <v>559</v>
      </c>
      <c r="H198" s="72" t="s">
        <v>306</v>
      </c>
      <c r="I198" s="73" t="s">
        <v>173</v>
      </c>
    </row>
    <row r="199" spans="1:9" ht="15" customHeight="1">
      <c r="A199" s="267"/>
      <c r="B199" s="273"/>
      <c r="C199" s="102">
        <v>111523</v>
      </c>
      <c r="D199" s="73" t="s">
        <v>156</v>
      </c>
      <c r="E199" s="73" t="str">
        <f t="shared" si="3"/>
        <v>111523,</v>
      </c>
      <c r="F199" s="124" t="s">
        <v>560</v>
      </c>
      <c r="G199" s="81" t="s">
        <v>561</v>
      </c>
      <c r="H199" s="72" t="s">
        <v>306</v>
      </c>
      <c r="I199" s="73" t="s">
        <v>173</v>
      </c>
    </row>
    <row r="200" spans="1:9" ht="15" customHeight="1">
      <c r="A200" s="267"/>
      <c r="B200" s="273"/>
      <c r="C200" s="102">
        <v>31192</v>
      </c>
      <c r="D200" s="73" t="s">
        <v>156</v>
      </c>
      <c r="E200" s="73" t="str">
        <f t="shared" si="3"/>
        <v>31192,</v>
      </c>
      <c r="F200" s="124" t="s">
        <v>562</v>
      </c>
      <c r="G200" s="81" t="s">
        <v>563</v>
      </c>
      <c r="H200" s="72" t="s">
        <v>328</v>
      </c>
      <c r="I200" s="73" t="s">
        <v>173</v>
      </c>
    </row>
    <row r="201" spans="1:9" ht="15" customHeight="1">
      <c r="A201" s="267"/>
      <c r="B201" s="273"/>
      <c r="C201" s="102">
        <v>171306</v>
      </c>
      <c r="D201" s="73" t="s">
        <v>156</v>
      </c>
      <c r="E201" s="73" t="str">
        <f t="shared" si="3"/>
        <v>171306,</v>
      </c>
      <c r="F201" s="126" t="s">
        <v>420</v>
      </c>
      <c r="G201" s="126" t="s">
        <v>564</v>
      </c>
      <c r="H201" s="126" t="s">
        <v>565</v>
      </c>
      <c r="I201" s="73"/>
    </row>
    <row r="202" spans="1:9" ht="15" customHeight="1">
      <c r="A202" s="267"/>
      <c r="B202" s="273"/>
      <c r="C202" s="102">
        <v>54418</v>
      </c>
      <c r="D202" s="73" t="s">
        <v>156</v>
      </c>
      <c r="E202" s="73" t="str">
        <f t="shared" si="3"/>
        <v>54418,</v>
      </c>
      <c r="F202" s="124" t="s">
        <v>566</v>
      </c>
      <c r="G202" s="81" t="s">
        <v>567</v>
      </c>
      <c r="H202" s="72" t="s">
        <v>358</v>
      </c>
      <c r="I202" s="73" t="s">
        <v>173</v>
      </c>
    </row>
    <row r="203" spans="1:9" ht="15" customHeight="1">
      <c r="A203" s="267"/>
      <c r="B203" s="273"/>
      <c r="C203" s="102">
        <v>52438</v>
      </c>
      <c r="D203" s="73" t="s">
        <v>156</v>
      </c>
      <c r="E203" s="73" t="str">
        <f t="shared" si="3"/>
        <v>52438,</v>
      </c>
      <c r="F203" s="124" t="s">
        <v>568</v>
      </c>
      <c r="G203" s="81" t="s">
        <v>569</v>
      </c>
      <c r="H203" s="72" t="s">
        <v>358</v>
      </c>
      <c r="I203" s="73" t="s">
        <v>173</v>
      </c>
    </row>
    <row r="204" spans="1:9" ht="15" customHeight="1">
      <c r="A204" s="267"/>
      <c r="B204" s="273"/>
      <c r="C204" s="102">
        <v>113685</v>
      </c>
      <c r="D204" s="73" t="s">
        <v>156</v>
      </c>
      <c r="E204" s="73" t="str">
        <f t="shared" si="3"/>
        <v>113685,</v>
      </c>
      <c r="F204" s="124" t="s">
        <v>570</v>
      </c>
      <c r="G204" s="81" t="s">
        <v>505</v>
      </c>
      <c r="H204" s="72" t="s">
        <v>358</v>
      </c>
      <c r="I204" s="73" t="s">
        <v>173</v>
      </c>
    </row>
    <row r="205" spans="1:9" ht="15" customHeight="1">
      <c r="A205" s="267"/>
      <c r="B205" s="273"/>
      <c r="C205" s="102">
        <v>126316</v>
      </c>
      <c r="D205" s="73" t="s">
        <v>156</v>
      </c>
      <c r="E205" s="73" t="str">
        <f t="shared" si="3"/>
        <v>126316,</v>
      </c>
      <c r="F205" s="124" t="s">
        <v>571</v>
      </c>
      <c r="G205" s="81" t="s">
        <v>572</v>
      </c>
      <c r="H205" s="72" t="s">
        <v>358</v>
      </c>
      <c r="I205" s="73" t="s">
        <v>173</v>
      </c>
    </row>
    <row r="206" spans="1:9" ht="15" customHeight="1">
      <c r="A206" s="267"/>
      <c r="B206" s="273"/>
      <c r="C206" s="102">
        <v>132084</v>
      </c>
      <c r="D206" s="73" t="s">
        <v>156</v>
      </c>
      <c r="E206" s="73" t="str">
        <f t="shared" si="3"/>
        <v>132084,</v>
      </c>
      <c r="F206" s="124" t="s">
        <v>573</v>
      </c>
      <c r="G206" s="81" t="s">
        <v>369</v>
      </c>
      <c r="H206" s="72" t="s">
        <v>358</v>
      </c>
      <c r="I206" s="73" t="s">
        <v>173</v>
      </c>
    </row>
    <row r="207" spans="1:9" ht="15" customHeight="1">
      <c r="A207" s="267"/>
      <c r="B207" s="273"/>
      <c r="C207" s="102">
        <v>143123</v>
      </c>
      <c r="D207" s="73" t="s">
        <v>156</v>
      </c>
      <c r="E207" s="73" t="str">
        <f t="shared" si="3"/>
        <v>143123,</v>
      </c>
      <c r="F207" s="124" t="s">
        <v>574</v>
      </c>
      <c r="G207" s="81" t="s">
        <v>575</v>
      </c>
      <c r="H207" s="72" t="s">
        <v>358</v>
      </c>
      <c r="I207" s="73" t="s">
        <v>173</v>
      </c>
    </row>
    <row r="208" spans="1:9" ht="15" customHeight="1">
      <c r="A208" s="267"/>
      <c r="B208" s="273"/>
      <c r="C208" s="102">
        <v>142729</v>
      </c>
      <c r="D208" s="73" t="s">
        <v>156</v>
      </c>
      <c r="E208" s="73" t="str">
        <f t="shared" si="3"/>
        <v>142729,</v>
      </c>
      <c r="F208" s="124" t="s">
        <v>576</v>
      </c>
      <c r="G208" s="81" t="s">
        <v>577</v>
      </c>
      <c r="H208" s="72" t="s">
        <v>358</v>
      </c>
      <c r="I208" s="73" t="s">
        <v>173</v>
      </c>
    </row>
    <row r="209" spans="1:9" ht="15" customHeight="1">
      <c r="A209" s="267"/>
      <c r="B209" s="273"/>
      <c r="C209" s="102">
        <v>126309</v>
      </c>
      <c r="D209" s="73" t="s">
        <v>156</v>
      </c>
      <c r="E209" s="73" t="str">
        <f t="shared" si="3"/>
        <v>126309,</v>
      </c>
      <c r="F209" s="124" t="s">
        <v>578</v>
      </c>
      <c r="G209" s="81" t="s">
        <v>579</v>
      </c>
      <c r="H209" s="72" t="s">
        <v>358</v>
      </c>
      <c r="I209" s="73" t="s">
        <v>173</v>
      </c>
    </row>
    <row r="210" spans="1:9" ht="15" customHeight="1">
      <c r="A210" s="267"/>
      <c r="B210" s="273"/>
      <c r="C210" s="102">
        <v>163824</v>
      </c>
      <c r="D210" s="73" t="s">
        <v>156</v>
      </c>
      <c r="E210" s="73" t="str">
        <f t="shared" si="3"/>
        <v>163824,</v>
      </c>
      <c r="F210" s="124" t="s">
        <v>580</v>
      </c>
      <c r="G210" s="81" t="s">
        <v>581</v>
      </c>
      <c r="H210" s="72" t="s">
        <v>358</v>
      </c>
      <c r="I210" s="73" t="s">
        <v>173</v>
      </c>
    </row>
    <row r="211" spans="1:9" ht="15" customHeight="1">
      <c r="A211" s="267"/>
      <c r="B211" s="273"/>
      <c r="C211" s="102">
        <v>159513</v>
      </c>
      <c r="D211" s="73" t="s">
        <v>156</v>
      </c>
      <c r="E211" s="73" t="str">
        <f t="shared" si="3"/>
        <v>159513,</v>
      </c>
      <c r="F211" s="124" t="s">
        <v>582</v>
      </c>
      <c r="G211" s="81" t="s">
        <v>583</v>
      </c>
      <c r="H211" s="72" t="s">
        <v>454</v>
      </c>
      <c r="I211" s="73" t="s">
        <v>173</v>
      </c>
    </row>
    <row r="212" spans="1:9" ht="15" customHeight="1">
      <c r="A212" s="267"/>
      <c r="B212" s="273"/>
      <c r="C212" s="102">
        <v>142097</v>
      </c>
      <c r="D212" s="73" t="s">
        <v>156</v>
      </c>
      <c r="E212" s="73" t="str">
        <f t="shared" si="3"/>
        <v>142097,</v>
      </c>
      <c r="F212" s="124" t="s">
        <v>584</v>
      </c>
      <c r="G212" s="81" t="s">
        <v>585</v>
      </c>
      <c r="H212" s="72" t="s">
        <v>586</v>
      </c>
      <c r="I212" s="73" t="s">
        <v>173</v>
      </c>
    </row>
    <row r="213" spans="1:9" ht="15" customHeight="1">
      <c r="A213" s="267"/>
      <c r="B213" s="273"/>
      <c r="C213" s="135">
        <v>162002</v>
      </c>
      <c r="D213" s="73" t="s">
        <v>156</v>
      </c>
      <c r="E213" s="73" t="str">
        <f t="shared" si="3"/>
        <v>162002,</v>
      </c>
      <c r="F213" s="136" t="s">
        <v>587</v>
      </c>
      <c r="G213" s="136" t="s">
        <v>588</v>
      </c>
      <c r="H213" s="136" t="s">
        <v>441</v>
      </c>
      <c r="I213" s="73" t="s">
        <v>173</v>
      </c>
    </row>
    <row r="214" spans="1:9" ht="15" customHeight="1">
      <c r="A214" s="267"/>
      <c r="B214" s="273"/>
      <c r="C214" s="137">
        <v>168730</v>
      </c>
      <c r="D214" s="73" t="s">
        <v>156</v>
      </c>
      <c r="E214" s="73" t="str">
        <f t="shared" si="3"/>
        <v>168730,</v>
      </c>
      <c r="F214" s="69" t="s">
        <v>589</v>
      </c>
      <c r="G214" s="138" t="s">
        <v>590</v>
      </c>
      <c r="H214" s="69" t="s">
        <v>441</v>
      </c>
      <c r="I214" s="73" t="s">
        <v>173</v>
      </c>
    </row>
    <row r="215" spans="1:9" ht="15" customHeight="1">
      <c r="A215" s="267"/>
      <c r="B215" s="273"/>
      <c r="C215" s="70">
        <v>169249</v>
      </c>
      <c r="D215" s="73" t="s">
        <v>156</v>
      </c>
      <c r="E215" s="73" t="str">
        <f t="shared" si="3"/>
        <v>169249,</v>
      </c>
      <c r="F215" s="69" t="s">
        <v>591</v>
      </c>
      <c r="G215" s="69" t="s">
        <v>592</v>
      </c>
      <c r="H215" s="69" t="s">
        <v>593</v>
      </c>
      <c r="I215" s="73" t="s">
        <v>173</v>
      </c>
    </row>
    <row r="216" spans="1:9" ht="15" customHeight="1">
      <c r="A216" s="267"/>
      <c r="B216" s="273"/>
      <c r="C216" s="139">
        <v>165184</v>
      </c>
      <c r="D216" s="73" t="s">
        <v>156</v>
      </c>
      <c r="E216" s="73" t="str">
        <f t="shared" si="3"/>
        <v>165184,</v>
      </c>
      <c r="F216" s="140" t="s">
        <v>594</v>
      </c>
      <c r="G216" s="140" t="s">
        <v>595</v>
      </c>
      <c r="H216" s="141" t="s">
        <v>596</v>
      </c>
      <c r="I216" s="139" t="s">
        <v>173</v>
      </c>
    </row>
    <row r="217" spans="1:9" ht="15" customHeight="1">
      <c r="A217" s="267"/>
      <c r="B217" s="273"/>
      <c r="C217" s="139">
        <v>163749</v>
      </c>
      <c r="D217" s="73" t="s">
        <v>156</v>
      </c>
      <c r="E217" s="73" t="str">
        <f t="shared" si="3"/>
        <v>163749,</v>
      </c>
      <c r="F217" s="140" t="s">
        <v>597</v>
      </c>
      <c r="G217" s="140" t="s">
        <v>598</v>
      </c>
      <c r="H217" s="141" t="s">
        <v>596</v>
      </c>
      <c r="I217" s="139" t="s">
        <v>160</v>
      </c>
    </row>
    <row r="218" spans="1:9" ht="15" customHeight="1">
      <c r="A218" s="267"/>
      <c r="B218" s="273"/>
      <c r="C218" s="139">
        <v>162573</v>
      </c>
      <c r="D218" s="73" t="s">
        <v>156</v>
      </c>
      <c r="E218" s="73" t="str">
        <f t="shared" si="3"/>
        <v>162573,</v>
      </c>
      <c r="F218" s="140" t="s">
        <v>599</v>
      </c>
      <c r="G218" s="141" t="s">
        <v>600</v>
      </c>
      <c r="H218" s="140" t="s">
        <v>601</v>
      </c>
      <c r="I218" s="139" t="s">
        <v>160</v>
      </c>
    </row>
    <row r="219" spans="1:9" ht="15" customHeight="1">
      <c r="A219" s="267"/>
      <c r="B219" s="273"/>
      <c r="C219" s="139">
        <v>98193</v>
      </c>
      <c r="D219" s="73" t="s">
        <v>156</v>
      </c>
      <c r="E219" s="73" t="str">
        <f t="shared" si="3"/>
        <v>98193,</v>
      </c>
      <c r="F219" s="141" t="s">
        <v>602</v>
      </c>
      <c r="G219" s="140" t="s">
        <v>603</v>
      </c>
      <c r="H219" s="141" t="s">
        <v>596</v>
      </c>
      <c r="I219" s="139" t="s">
        <v>160</v>
      </c>
    </row>
    <row r="220" spans="1:9" ht="15" customHeight="1">
      <c r="A220" s="267"/>
      <c r="B220" s="273"/>
      <c r="C220" s="139">
        <v>163299</v>
      </c>
      <c r="D220" s="73" t="s">
        <v>156</v>
      </c>
      <c r="E220" s="73" t="str">
        <f t="shared" si="3"/>
        <v>163299,</v>
      </c>
      <c r="F220" s="140" t="s">
        <v>604</v>
      </c>
      <c r="G220" s="140" t="s">
        <v>605</v>
      </c>
      <c r="H220" s="141" t="s">
        <v>596</v>
      </c>
      <c r="I220" s="139" t="s">
        <v>160</v>
      </c>
    </row>
    <row r="221" spans="1:9" ht="15" customHeight="1">
      <c r="A221" s="267"/>
      <c r="B221" s="273"/>
      <c r="C221" s="139">
        <v>158603</v>
      </c>
      <c r="D221" s="73" t="s">
        <v>156</v>
      </c>
      <c r="E221" s="73" t="str">
        <f t="shared" si="3"/>
        <v>158603,</v>
      </c>
      <c r="F221" s="140" t="s">
        <v>606</v>
      </c>
      <c r="G221" s="142" t="s">
        <v>607</v>
      </c>
      <c r="H221" s="140" t="s">
        <v>608</v>
      </c>
      <c r="I221" s="139" t="s">
        <v>173</v>
      </c>
    </row>
    <row r="222" spans="1:9" ht="15" customHeight="1">
      <c r="A222" s="267"/>
      <c r="B222" s="273"/>
      <c r="C222" s="143">
        <v>153799</v>
      </c>
      <c r="D222" s="133" t="s">
        <v>156</v>
      </c>
      <c r="E222" s="133" t="str">
        <f t="shared" si="3"/>
        <v>153799,</v>
      </c>
      <c r="F222" s="144" t="s">
        <v>609</v>
      </c>
      <c r="G222" s="141" t="s">
        <v>610</v>
      </c>
      <c r="H222" s="140" t="s">
        <v>601</v>
      </c>
      <c r="I222" s="139" t="s">
        <v>160</v>
      </c>
    </row>
    <row r="223" spans="1:9" ht="15" customHeight="1">
      <c r="A223" s="267"/>
      <c r="B223" s="273"/>
      <c r="C223" s="145">
        <v>176958</v>
      </c>
      <c r="D223" s="146"/>
      <c r="E223" s="146" t="s">
        <v>611</v>
      </c>
      <c r="F223" s="147" t="s">
        <v>612</v>
      </c>
      <c r="G223" s="148" t="s">
        <v>613</v>
      </c>
      <c r="H223" s="140" t="s">
        <v>608</v>
      </c>
      <c r="I223" s="139"/>
    </row>
    <row r="224" spans="1:9" ht="15" customHeight="1">
      <c r="A224" s="267"/>
      <c r="B224" s="273"/>
      <c r="C224" s="102">
        <v>165120</v>
      </c>
      <c r="D224" s="73" t="s">
        <v>156</v>
      </c>
      <c r="E224" s="73" t="str">
        <f>C224&amp;D224</f>
        <v>165120,</v>
      </c>
      <c r="F224" s="81" t="s">
        <v>614</v>
      </c>
      <c r="G224" s="149" t="s">
        <v>615</v>
      </c>
      <c r="H224" s="89" t="s">
        <v>616</v>
      </c>
      <c r="I224" s="102" t="s">
        <v>160</v>
      </c>
    </row>
    <row r="225" spans="1:9" ht="15" customHeight="1">
      <c r="A225" s="268"/>
      <c r="B225" s="274"/>
      <c r="C225" s="102">
        <v>147402</v>
      </c>
      <c r="D225" s="73" t="s">
        <v>156</v>
      </c>
      <c r="E225" s="73" t="str">
        <f>C225&amp;D225</f>
        <v>147402,</v>
      </c>
      <c r="F225" s="81" t="s">
        <v>617</v>
      </c>
      <c r="G225" s="149" t="s">
        <v>618</v>
      </c>
      <c r="H225" s="89" t="s">
        <v>616</v>
      </c>
      <c r="I225" s="102" t="s">
        <v>160</v>
      </c>
    </row>
  </sheetData>
  <mergeCells count="10">
    <mergeCell ref="B3:B7"/>
    <mergeCell ref="B11:B15"/>
    <mergeCell ref="B17:B19"/>
    <mergeCell ref="B21:B40"/>
    <mergeCell ref="B43:B225"/>
    <mergeCell ref="A3:A7"/>
    <mergeCell ref="A11:A15"/>
    <mergeCell ref="A17:A18"/>
    <mergeCell ref="A21:A40"/>
    <mergeCell ref="A43:A225"/>
  </mergeCells>
  <phoneticPr fontId="14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topLeftCell="A10" workbookViewId="0">
      <selection activeCell="O5" sqref="O5"/>
    </sheetView>
  </sheetViews>
  <sheetFormatPr defaultColWidth="9" defaultRowHeight="14.25"/>
  <cols>
    <col min="1" max="1" width="8.375" style="61" customWidth="1"/>
    <col min="2" max="2" width="7" style="65" customWidth="1"/>
    <col min="3" max="3" width="12" style="65" customWidth="1"/>
    <col min="4" max="4" width="11" style="64" customWidth="1"/>
    <col min="5" max="5" width="24.75" style="64" customWidth="1"/>
    <col min="6" max="6" width="4.75" style="33" customWidth="1"/>
    <col min="7" max="7" width="6.875" style="33" customWidth="1"/>
    <col min="8" max="8" width="7.87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0.875" style="64" customWidth="1"/>
    <col min="16" max="16" width="9" style="64"/>
    <col min="17" max="17" width="7.5" style="64" customWidth="1"/>
    <col min="18" max="256" width="9" style="64"/>
    <col min="257" max="16384" width="9" style="4"/>
  </cols>
  <sheetData>
    <row r="1" spans="1:245" s="61" customFormat="1" ht="18.95" customHeight="1">
      <c r="A1" s="278"/>
      <c r="B1" s="279"/>
      <c r="C1" s="278"/>
      <c r="D1" s="278"/>
      <c r="E1" s="278"/>
      <c r="F1" s="278"/>
      <c r="G1" s="278"/>
      <c r="H1" s="67"/>
      <c r="I1" s="280" t="s">
        <v>619</v>
      </c>
      <c r="J1" s="280"/>
      <c r="K1" s="108"/>
      <c r="L1" s="280" t="s">
        <v>620</v>
      </c>
      <c r="M1" s="280"/>
      <c r="N1" s="280"/>
      <c r="O1" s="67"/>
    </row>
    <row r="2" spans="1:245" s="62" customFormat="1" ht="30" customHeight="1">
      <c r="A2" s="5"/>
      <c r="B2" s="58" t="s">
        <v>149</v>
      </c>
      <c r="C2" s="5" t="s">
        <v>150</v>
      </c>
      <c r="D2" s="5" t="s">
        <v>151</v>
      </c>
      <c r="E2" s="68" t="s">
        <v>152</v>
      </c>
      <c r="F2" s="5" t="s">
        <v>153</v>
      </c>
      <c r="G2" s="5" t="s">
        <v>621</v>
      </c>
      <c r="H2" s="5" t="s">
        <v>11</v>
      </c>
      <c r="I2" s="5" t="s">
        <v>622</v>
      </c>
      <c r="J2" s="5" t="s">
        <v>623</v>
      </c>
      <c r="K2" s="5" t="s">
        <v>23</v>
      </c>
      <c r="L2" s="5" t="s">
        <v>624</v>
      </c>
      <c r="M2" s="5" t="s">
        <v>622</v>
      </c>
      <c r="N2" s="5" t="s">
        <v>13</v>
      </c>
      <c r="O2" s="5" t="s">
        <v>148</v>
      </c>
    </row>
    <row r="3" spans="1:245" s="63" customFormat="1" ht="63" customHeight="1">
      <c r="A3" s="5" t="s">
        <v>154</v>
      </c>
      <c r="B3" s="69">
        <v>115733</v>
      </c>
      <c r="C3" s="69" t="s">
        <v>157</v>
      </c>
      <c r="D3" s="70" t="s">
        <v>158</v>
      </c>
      <c r="E3" s="71" t="s">
        <v>159</v>
      </c>
      <c r="F3" s="70" t="s">
        <v>160</v>
      </c>
      <c r="G3" s="70">
        <v>1350</v>
      </c>
      <c r="H3" s="70">
        <v>264</v>
      </c>
      <c r="I3" s="70">
        <v>355</v>
      </c>
      <c r="J3" s="70">
        <v>448</v>
      </c>
      <c r="K3" s="109" t="s">
        <v>625</v>
      </c>
      <c r="L3" s="70">
        <v>90</v>
      </c>
      <c r="M3" s="70">
        <v>105</v>
      </c>
      <c r="N3" s="70">
        <v>120</v>
      </c>
      <c r="O3" s="70" t="s">
        <v>626</v>
      </c>
      <c r="P3" s="110" t="s">
        <v>627</v>
      </c>
      <c r="Q3" s="70" t="s">
        <v>628</v>
      </c>
      <c r="R3" s="70" t="s">
        <v>629</v>
      </c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60"/>
      <c r="FI3" s="60"/>
      <c r="FJ3" s="60"/>
      <c r="FK3" s="60"/>
      <c r="FL3" s="60"/>
      <c r="FM3" s="60"/>
      <c r="FN3" s="60"/>
      <c r="FO3" s="60"/>
      <c r="FP3" s="60"/>
      <c r="FQ3" s="60"/>
      <c r="FR3" s="60"/>
      <c r="FS3" s="60"/>
      <c r="FT3" s="60"/>
      <c r="FU3" s="60"/>
      <c r="FV3" s="60"/>
      <c r="FW3" s="60"/>
      <c r="FX3" s="60"/>
      <c r="FY3" s="60"/>
      <c r="FZ3" s="60"/>
      <c r="GA3" s="60"/>
      <c r="GB3" s="60"/>
      <c r="GC3" s="60"/>
      <c r="GD3" s="60"/>
      <c r="GE3" s="60"/>
      <c r="GF3" s="60"/>
      <c r="GG3" s="60"/>
      <c r="GH3" s="60"/>
      <c r="GI3" s="60"/>
      <c r="GJ3" s="60"/>
      <c r="GK3" s="60"/>
      <c r="GL3" s="60"/>
      <c r="GM3" s="60"/>
      <c r="GN3" s="60"/>
      <c r="GO3" s="60"/>
      <c r="GP3" s="60"/>
      <c r="GQ3" s="60"/>
      <c r="GR3" s="60"/>
      <c r="GS3" s="60"/>
      <c r="GT3" s="60"/>
      <c r="GU3" s="60"/>
      <c r="GV3" s="60"/>
      <c r="GW3" s="60"/>
      <c r="GX3" s="60"/>
      <c r="GY3" s="60"/>
      <c r="GZ3" s="60"/>
      <c r="HA3" s="60"/>
      <c r="HB3" s="60"/>
      <c r="HC3" s="60"/>
      <c r="HD3" s="60"/>
      <c r="HE3" s="60"/>
      <c r="HF3" s="60"/>
      <c r="HG3" s="60"/>
      <c r="HH3" s="60"/>
      <c r="HI3" s="60"/>
      <c r="HJ3" s="60"/>
      <c r="HK3" s="60"/>
      <c r="HL3" s="60"/>
      <c r="HM3" s="60"/>
      <c r="HN3" s="60"/>
      <c r="HO3" s="60"/>
      <c r="HP3" s="60"/>
      <c r="HQ3" s="60"/>
      <c r="HR3" s="60"/>
      <c r="HS3" s="60"/>
      <c r="HT3" s="60"/>
      <c r="HU3" s="60"/>
      <c r="HV3" s="60"/>
      <c r="HW3" s="60"/>
      <c r="HX3" s="60"/>
      <c r="HY3" s="60"/>
      <c r="HZ3" s="60"/>
      <c r="IA3" s="60"/>
      <c r="IB3" s="60"/>
      <c r="IC3" s="60"/>
      <c r="ID3" s="60"/>
      <c r="IE3" s="60"/>
      <c r="IF3" s="60"/>
      <c r="IG3" s="60"/>
      <c r="IH3" s="60"/>
      <c r="II3" s="60"/>
      <c r="IJ3" s="60"/>
      <c r="IK3" s="60"/>
    </row>
    <row r="4" spans="1:245" s="64" customFormat="1" ht="15.95" customHeight="1">
      <c r="A4" s="284" t="s">
        <v>161</v>
      </c>
      <c r="B4" s="72">
        <v>84174</v>
      </c>
      <c r="C4" s="72" t="s">
        <v>163</v>
      </c>
      <c r="D4" s="72" t="s">
        <v>630</v>
      </c>
      <c r="E4" s="72" t="s">
        <v>181</v>
      </c>
      <c r="F4" s="73" t="s">
        <v>160</v>
      </c>
      <c r="G4" s="70">
        <v>35</v>
      </c>
      <c r="H4" s="269">
        <v>246975.5</v>
      </c>
      <c r="I4" s="270">
        <v>271673</v>
      </c>
      <c r="J4" s="270">
        <v>296371</v>
      </c>
      <c r="K4" s="292">
        <v>0.05</v>
      </c>
      <c r="L4" s="297">
        <v>7.0000000000000007E-2</v>
      </c>
      <c r="M4" s="297">
        <v>0.09</v>
      </c>
      <c r="N4" s="297">
        <v>0.11</v>
      </c>
      <c r="O4" s="111"/>
    </row>
    <row r="5" spans="1:245" s="64" customFormat="1" ht="15.95" customHeight="1">
      <c r="A5" s="285"/>
      <c r="B5" s="17">
        <v>21580</v>
      </c>
      <c r="C5" s="17" t="s">
        <v>166</v>
      </c>
      <c r="D5" s="17" t="s">
        <v>167</v>
      </c>
      <c r="E5" s="17" t="s">
        <v>168</v>
      </c>
      <c r="F5" s="7" t="s">
        <v>160</v>
      </c>
      <c r="G5" s="70">
        <v>98</v>
      </c>
      <c r="H5" s="267"/>
      <c r="I5" s="276"/>
      <c r="J5" s="276"/>
      <c r="K5" s="293"/>
      <c r="L5" s="298"/>
      <c r="M5" s="298"/>
      <c r="N5" s="298"/>
      <c r="O5" s="111"/>
    </row>
    <row r="6" spans="1:245" s="64" customFormat="1" ht="15.95" customHeight="1">
      <c r="A6" s="285"/>
      <c r="B6" s="76">
        <v>166880</v>
      </c>
      <c r="C6" s="77" t="s">
        <v>169</v>
      </c>
      <c r="D6" s="77" t="s">
        <v>170</v>
      </c>
      <c r="E6" s="77" t="s">
        <v>171</v>
      </c>
      <c r="F6" s="7"/>
      <c r="G6" s="70"/>
      <c r="H6" s="267"/>
      <c r="I6" s="276"/>
      <c r="J6" s="276"/>
      <c r="K6" s="293"/>
      <c r="L6" s="298"/>
      <c r="M6" s="298"/>
      <c r="N6" s="298"/>
      <c r="O6" s="111"/>
    </row>
    <row r="7" spans="1:245" s="64" customFormat="1" ht="15.95" customHeight="1">
      <c r="A7" s="285"/>
      <c r="B7" s="76">
        <v>40226</v>
      </c>
      <c r="C7" s="77" t="s">
        <v>169</v>
      </c>
      <c r="D7" s="77" t="s">
        <v>172</v>
      </c>
      <c r="E7" s="77" t="s">
        <v>171</v>
      </c>
      <c r="F7" s="7"/>
      <c r="G7" s="70"/>
      <c r="H7" s="267"/>
      <c r="I7" s="276"/>
      <c r="J7" s="276"/>
      <c r="K7" s="293"/>
      <c r="L7" s="298"/>
      <c r="M7" s="298"/>
      <c r="N7" s="298"/>
      <c r="O7" s="111"/>
    </row>
    <row r="8" spans="1:245" s="64" customFormat="1" ht="15.95" customHeight="1">
      <c r="A8" s="285"/>
      <c r="B8" s="76">
        <v>133360</v>
      </c>
      <c r="C8" s="77" t="s">
        <v>174</v>
      </c>
      <c r="D8" s="77" t="s">
        <v>208</v>
      </c>
      <c r="E8" s="77" t="s">
        <v>631</v>
      </c>
      <c r="F8" s="78" t="s">
        <v>160</v>
      </c>
      <c r="G8" s="78">
        <v>39.9</v>
      </c>
      <c r="H8" s="267"/>
      <c r="I8" s="276"/>
      <c r="J8" s="276"/>
      <c r="K8" s="294"/>
      <c r="L8" s="299"/>
      <c r="M8" s="299"/>
      <c r="N8" s="299"/>
      <c r="O8" s="111"/>
    </row>
    <row r="9" spans="1:245" s="64" customFormat="1" ht="15.95" customHeight="1">
      <c r="A9" s="285"/>
      <c r="B9" s="79">
        <v>75138</v>
      </c>
      <c r="C9" s="80" t="s">
        <v>175</v>
      </c>
      <c r="D9" s="81" t="s">
        <v>176</v>
      </c>
      <c r="E9" s="80" t="s">
        <v>177</v>
      </c>
      <c r="F9" s="82" t="s">
        <v>160</v>
      </c>
      <c r="G9" s="78"/>
      <c r="H9" s="267"/>
      <c r="I9" s="276"/>
      <c r="J9" s="276"/>
      <c r="K9" s="294"/>
      <c r="L9" s="299"/>
      <c r="M9" s="299"/>
      <c r="N9" s="299"/>
      <c r="O9" s="111"/>
    </row>
    <row r="10" spans="1:245" s="64" customFormat="1" ht="15.95" customHeight="1">
      <c r="A10" s="285"/>
      <c r="B10" s="76" t="s">
        <v>632</v>
      </c>
      <c r="C10" s="83" t="s">
        <v>175</v>
      </c>
      <c r="D10" s="77" t="s">
        <v>176</v>
      </c>
      <c r="E10" s="84" t="s">
        <v>178</v>
      </c>
      <c r="F10" s="78" t="s">
        <v>160</v>
      </c>
      <c r="G10" s="78"/>
      <c r="H10" s="267"/>
      <c r="I10" s="276"/>
      <c r="J10" s="276"/>
      <c r="K10" s="294"/>
      <c r="L10" s="299"/>
      <c r="M10" s="299"/>
      <c r="N10" s="299"/>
      <c r="O10" s="111"/>
    </row>
    <row r="11" spans="1:245" s="64" customFormat="1" ht="15.95" customHeight="1">
      <c r="A11" s="286"/>
      <c r="B11" s="76">
        <v>31440</v>
      </c>
      <c r="C11" s="77" t="s">
        <v>179</v>
      </c>
      <c r="D11" s="77" t="s">
        <v>180</v>
      </c>
      <c r="E11" s="72" t="s">
        <v>181</v>
      </c>
      <c r="F11" s="78" t="s">
        <v>160</v>
      </c>
      <c r="G11" s="78"/>
      <c r="H11" s="268"/>
      <c r="I11" s="271"/>
      <c r="J11" s="271"/>
      <c r="K11" s="294"/>
      <c r="L11" s="299"/>
      <c r="M11" s="299"/>
      <c r="N11" s="299"/>
      <c r="O11" s="111"/>
    </row>
    <row r="12" spans="1:245" s="61" customFormat="1" ht="15.95" customHeight="1">
      <c r="A12" s="66" t="s">
        <v>161</v>
      </c>
      <c r="B12" s="85"/>
      <c r="C12" s="85"/>
      <c r="D12" s="85"/>
      <c r="E12" s="86"/>
      <c r="F12" s="87"/>
      <c r="G12" s="5" t="s">
        <v>633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12"/>
    </row>
    <row r="13" spans="1:245" s="64" customFormat="1" ht="12">
      <c r="A13" s="278" t="s">
        <v>182</v>
      </c>
      <c r="B13" s="72">
        <v>118954</v>
      </c>
      <c r="C13" s="72" t="s">
        <v>183</v>
      </c>
      <c r="D13" s="72" t="s">
        <v>184</v>
      </c>
      <c r="E13" s="88" t="s">
        <v>185</v>
      </c>
      <c r="F13" s="73" t="s">
        <v>160</v>
      </c>
      <c r="G13" s="70">
        <v>21.9</v>
      </c>
      <c r="H13" s="269">
        <v>9224</v>
      </c>
      <c r="I13" s="289">
        <v>10153</v>
      </c>
      <c r="J13" s="289">
        <v>11077</v>
      </c>
      <c r="K13" s="275">
        <v>1</v>
      </c>
      <c r="L13" s="113">
        <v>1</v>
      </c>
      <c r="M13" s="7">
        <v>1.5</v>
      </c>
      <c r="N13" s="7">
        <v>2.5</v>
      </c>
      <c r="O13" s="111"/>
    </row>
    <row r="14" spans="1:245" s="64" customFormat="1" ht="12">
      <c r="A14" s="278"/>
      <c r="B14" s="72">
        <v>136714</v>
      </c>
      <c r="C14" s="72" t="s">
        <v>186</v>
      </c>
      <c r="D14" s="72" t="s">
        <v>187</v>
      </c>
      <c r="E14" s="72" t="s">
        <v>188</v>
      </c>
      <c r="F14" s="73" t="s">
        <v>160</v>
      </c>
      <c r="G14" s="70">
        <v>29.8</v>
      </c>
      <c r="H14" s="267"/>
      <c r="I14" s="290"/>
      <c r="J14" s="290"/>
      <c r="K14" s="273"/>
      <c r="L14" s="113">
        <v>1</v>
      </c>
      <c r="M14" s="7">
        <v>1.5</v>
      </c>
      <c r="N14" s="7">
        <v>2.5</v>
      </c>
      <c r="O14" s="111"/>
    </row>
    <row r="15" spans="1:245" s="64" customFormat="1" ht="12.75">
      <c r="A15" s="278"/>
      <c r="B15" s="76">
        <v>104690</v>
      </c>
      <c r="C15" s="77" t="s">
        <v>189</v>
      </c>
      <c r="D15" s="77" t="s">
        <v>190</v>
      </c>
      <c r="E15" s="77" t="s">
        <v>171</v>
      </c>
      <c r="F15" s="73" t="s">
        <v>160</v>
      </c>
      <c r="G15" s="70"/>
      <c r="H15" s="267"/>
      <c r="I15" s="290"/>
      <c r="J15" s="290"/>
      <c r="K15" s="273"/>
      <c r="L15" s="7">
        <v>2</v>
      </c>
      <c r="M15" s="7">
        <v>3</v>
      </c>
      <c r="N15" s="7">
        <v>4</v>
      </c>
      <c r="O15" s="111"/>
    </row>
    <row r="16" spans="1:245" s="64" customFormat="1" ht="12.75">
      <c r="A16" s="278"/>
      <c r="B16" s="76">
        <v>48831</v>
      </c>
      <c r="C16" s="72" t="s">
        <v>26</v>
      </c>
      <c r="D16" s="89" t="s">
        <v>634</v>
      </c>
      <c r="E16" s="72" t="s">
        <v>193</v>
      </c>
      <c r="F16" s="73" t="s">
        <v>160</v>
      </c>
      <c r="G16" s="70"/>
      <c r="H16" s="267"/>
      <c r="I16" s="290"/>
      <c r="J16" s="290"/>
      <c r="K16" s="273"/>
      <c r="L16" s="7">
        <v>0.5</v>
      </c>
      <c r="M16" s="7">
        <v>1</v>
      </c>
      <c r="N16" s="7">
        <v>1.5</v>
      </c>
      <c r="O16" s="111"/>
    </row>
    <row r="17" spans="1:15" s="64" customFormat="1" ht="12.75">
      <c r="A17" s="278"/>
      <c r="B17" s="76">
        <v>117255</v>
      </c>
      <c r="C17" s="77" t="s">
        <v>194</v>
      </c>
      <c r="D17" s="83" t="s">
        <v>635</v>
      </c>
      <c r="E17" s="83" t="s">
        <v>176</v>
      </c>
      <c r="F17" s="73" t="s">
        <v>160</v>
      </c>
      <c r="G17" s="70"/>
      <c r="H17" s="267"/>
      <c r="I17" s="290"/>
      <c r="J17" s="290"/>
      <c r="K17" s="273"/>
      <c r="L17" s="7">
        <v>2</v>
      </c>
      <c r="M17" s="7">
        <v>3</v>
      </c>
      <c r="N17" s="7">
        <v>4</v>
      </c>
      <c r="O17" s="111"/>
    </row>
    <row r="18" spans="1:15" s="64" customFormat="1" ht="12.75">
      <c r="A18" s="278"/>
      <c r="B18" s="76">
        <v>160637</v>
      </c>
      <c r="C18" s="80" t="s">
        <v>195</v>
      </c>
      <c r="D18" s="80" t="s">
        <v>176</v>
      </c>
      <c r="E18" s="80" t="s">
        <v>196</v>
      </c>
      <c r="F18" s="80" t="s">
        <v>173</v>
      </c>
      <c r="G18" s="70"/>
      <c r="H18" s="268"/>
      <c r="I18" s="291"/>
      <c r="J18" s="291"/>
      <c r="K18" s="273"/>
      <c r="L18" s="7">
        <v>2</v>
      </c>
      <c r="M18" s="7">
        <v>3</v>
      </c>
      <c r="N18" s="7">
        <v>4</v>
      </c>
      <c r="O18" s="111"/>
    </row>
    <row r="19" spans="1:15" s="61" customFormat="1" ht="15" customHeight="1">
      <c r="A19" s="66" t="s">
        <v>182</v>
      </c>
      <c r="B19" s="90"/>
      <c r="C19" s="85"/>
      <c r="D19" s="91"/>
      <c r="E19" s="86"/>
      <c r="F19" s="36"/>
      <c r="G19" s="87" t="s">
        <v>146</v>
      </c>
      <c r="H19" s="87">
        <f t="shared" ref="H19:J19" si="1">H13</f>
        <v>9224</v>
      </c>
      <c r="I19" s="37">
        <f t="shared" si="1"/>
        <v>10153</v>
      </c>
      <c r="J19" s="37">
        <f t="shared" si="1"/>
        <v>11077</v>
      </c>
      <c r="K19" s="36"/>
      <c r="L19" s="7"/>
      <c r="M19" s="36"/>
      <c r="N19" s="36"/>
      <c r="O19" s="112"/>
    </row>
    <row r="20" spans="1:15" s="64" customFormat="1" ht="15" customHeight="1">
      <c r="A20" s="284" t="s">
        <v>3</v>
      </c>
      <c r="B20" s="76">
        <v>75028</v>
      </c>
      <c r="C20" s="76" t="s">
        <v>198</v>
      </c>
      <c r="D20" s="77" t="s">
        <v>199</v>
      </c>
      <c r="E20" s="83" t="s">
        <v>200</v>
      </c>
      <c r="F20" s="78" t="s">
        <v>160</v>
      </c>
      <c r="G20" s="73">
        <v>25.8</v>
      </c>
      <c r="H20" s="287">
        <v>49836</v>
      </c>
      <c r="I20" s="287">
        <v>54820</v>
      </c>
      <c r="J20" s="287">
        <v>59803</v>
      </c>
      <c r="K20" s="295">
        <v>0.04</v>
      </c>
      <c r="L20" s="295">
        <v>0.05</v>
      </c>
      <c r="M20" s="295">
        <v>7.0000000000000007E-2</v>
      </c>
      <c r="N20" s="295">
        <v>0.09</v>
      </c>
      <c r="O20" s="111"/>
    </row>
    <row r="21" spans="1:15" s="64" customFormat="1" ht="15" customHeight="1">
      <c r="A21" s="285"/>
      <c r="B21" s="76">
        <v>171872</v>
      </c>
      <c r="C21" s="72" t="s">
        <v>201</v>
      </c>
      <c r="D21" s="77" t="s">
        <v>202</v>
      </c>
      <c r="E21" s="92" t="s">
        <v>203</v>
      </c>
      <c r="F21" s="73" t="s">
        <v>160</v>
      </c>
      <c r="G21" s="73">
        <v>26.9</v>
      </c>
      <c r="H21" s="287"/>
      <c r="I21" s="287"/>
      <c r="J21" s="287"/>
      <c r="K21" s="295"/>
      <c r="L21" s="296"/>
      <c r="M21" s="296"/>
      <c r="N21" s="296"/>
      <c r="O21" s="111"/>
    </row>
    <row r="22" spans="1:15" s="64" customFormat="1" ht="12">
      <c r="A22" s="286"/>
      <c r="B22" s="17">
        <v>134798</v>
      </c>
      <c r="C22" s="17" t="s">
        <v>32</v>
      </c>
      <c r="D22" s="17" t="s">
        <v>205</v>
      </c>
      <c r="E22" s="93" t="s">
        <v>206</v>
      </c>
      <c r="F22" s="7" t="s">
        <v>160</v>
      </c>
      <c r="G22" s="7">
        <v>42</v>
      </c>
      <c r="H22" s="288"/>
      <c r="I22" s="288"/>
      <c r="J22" s="288"/>
      <c r="K22" s="296"/>
      <c r="L22" s="115">
        <v>0.03</v>
      </c>
      <c r="M22" s="116">
        <v>0.04</v>
      </c>
      <c r="N22" s="116">
        <v>0.05</v>
      </c>
      <c r="O22" s="111" t="s">
        <v>636</v>
      </c>
    </row>
    <row r="23" spans="1:15" s="61" customFormat="1" ht="24" customHeight="1">
      <c r="A23" s="66" t="s">
        <v>3</v>
      </c>
      <c r="B23" s="90"/>
      <c r="C23" s="85"/>
      <c r="D23" s="94"/>
      <c r="E23" s="95"/>
      <c r="F23" s="36"/>
      <c r="G23" s="87" t="s">
        <v>146</v>
      </c>
      <c r="H23" s="36">
        <f t="shared" ref="H23:J23" si="2">H20</f>
        <v>49836</v>
      </c>
      <c r="I23" s="37">
        <f t="shared" si="2"/>
        <v>54820</v>
      </c>
      <c r="J23" s="37">
        <f t="shared" si="2"/>
        <v>59803</v>
      </c>
      <c r="K23" s="36"/>
      <c r="L23" s="36"/>
      <c r="M23" s="36"/>
      <c r="N23" s="36"/>
      <c r="O23" s="112"/>
    </row>
    <row r="24" spans="1:15" s="64" customFormat="1" ht="41.1" customHeight="1">
      <c r="A24" s="96" t="s">
        <v>4</v>
      </c>
      <c r="B24" s="97">
        <v>47683</v>
      </c>
      <c r="C24" s="98" t="s">
        <v>207</v>
      </c>
      <c r="D24" s="98" t="s">
        <v>208</v>
      </c>
      <c r="E24" s="99" t="s">
        <v>168</v>
      </c>
      <c r="F24" s="100" t="s">
        <v>160</v>
      </c>
      <c r="G24" s="100">
        <v>17.8</v>
      </c>
      <c r="H24" s="100">
        <v>601614</v>
      </c>
      <c r="I24" s="117"/>
      <c r="J24" s="118"/>
      <c r="K24" s="119">
        <v>0.03</v>
      </c>
      <c r="L24" s="281" t="s">
        <v>637</v>
      </c>
      <c r="M24" s="282"/>
      <c r="N24" s="283"/>
      <c r="O24" s="111"/>
    </row>
    <row r="25" spans="1:15" s="64" customFormat="1" ht="23.1" customHeight="1">
      <c r="A25" s="101" t="s">
        <v>5</v>
      </c>
      <c r="B25" s="89"/>
      <c r="C25" s="72" t="s">
        <v>5</v>
      </c>
      <c r="D25" s="89"/>
      <c r="E25" s="89"/>
      <c r="F25" s="102"/>
      <c r="G25" s="102"/>
      <c r="H25" s="103">
        <v>165983</v>
      </c>
      <c r="I25" s="120">
        <v>182582</v>
      </c>
      <c r="J25" s="120">
        <v>199180</v>
      </c>
      <c r="K25" s="116">
        <v>0.05</v>
      </c>
      <c r="L25" s="116">
        <v>0.15</v>
      </c>
      <c r="M25" s="116">
        <v>0.2</v>
      </c>
      <c r="N25" s="116">
        <v>0.25</v>
      </c>
      <c r="O25" s="121" t="s">
        <v>638</v>
      </c>
    </row>
    <row r="26" spans="1:15" s="62" customFormat="1" ht="48.95" customHeight="1">
      <c r="A26" s="66" t="s">
        <v>249</v>
      </c>
      <c r="B26" s="104"/>
      <c r="C26" s="105" t="s">
        <v>639</v>
      </c>
      <c r="D26" s="106"/>
      <c r="E26" s="106"/>
      <c r="F26" s="107"/>
      <c r="G26" s="107"/>
      <c r="H26" s="107">
        <v>1538433.63072</v>
      </c>
      <c r="I26" s="122">
        <v>1675378.1437919999</v>
      </c>
      <c r="J26" s="122">
        <v>1844742.622464</v>
      </c>
      <c r="K26" s="115">
        <v>0.05</v>
      </c>
      <c r="L26" s="115">
        <v>0.08</v>
      </c>
      <c r="M26" s="115">
        <v>0.1</v>
      </c>
      <c r="N26" s="115">
        <v>0.12</v>
      </c>
      <c r="O26" s="111" t="s">
        <v>640</v>
      </c>
    </row>
    <row r="27" spans="1:15">
      <c r="C27" s="33" t="s">
        <v>641</v>
      </c>
      <c r="H27" s="33" t="s">
        <v>642</v>
      </c>
      <c r="O27" s="64" t="s">
        <v>643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4" type="noConversion"/>
  <pageMargins left="0.313888888888888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3"/>
  <sheetViews>
    <sheetView workbookViewId="0">
      <selection activeCell="O3" sqref="O3"/>
    </sheetView>
  </sheetViews>
  <sheetFormatPr defaultColWidth="9" defaultRowHeight="14.25"/>
  <cols>
    <col min="1" max="1" width="10.875" style="4" customWidth="1"/>
    <col min="2" max="3" width="9" style="4"/>
    <col min="4" max="4" width="10.875" style="4" customWidth="1"/>
    <col min="5" max="5" width="9" style="4"/>
    <col min="6" max="6" width="10.625" style="4" customWidth="1"/>
    <col min="7" max="7" width="9.25" style="4"/>
    <col min="8" max="8" width="9" style="4"/>
    <col min="9" max="9" width="9.25" style="4"/>
    <col min="10" max="10" width="9" style="4"/>
    <col min="11" max="11" width="11" style="4" customWidth="1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9.950000000000003" customHeight="1">
      <c r="A1" s="300" t="s">
        <v>644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1"/>
    </row>
    <row r="2" spans="1:13" ht="30" customHeight="1">
      <c r="A2" s="5" t="s">
        <v>645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646</v>
      </c>
      <c r="G2" s="6" t="s">
        <v>647</v>
      </c>
      <c r="H2" s="5" t="s">
        <v>648</v>
      </c>
      <c r="I2" s="5" t="s">
        <v>649</v>
      </c>
      <c r="J2" s="5" t="s">
        <v>650</v>
      </c>
      <c r="K2" s="5" t="s">
        <v>651</v>
      </c>
      <c r="L2" s="5" t="s">
        <v>652</v>
      </c>
      <c r="M2" s="2"/>
    </row>
    <row r="3" spans="1:13" ht="23.1" customHeight="1">
      <c r="A3" s="7" t="s">
        <v>154</v>
      </c>
      <c r="B3" s="8">
        <v>2</v>
      </c>
      <c r="C3" s="8">
        <v>3</v>
      </c>
      <c r="D3" s="8">
        <v>4</v>
      </c>
      <c r="E3" s="8">
        <v>1</v>
      </c>
      <c r="F3" s="8">
        <v>2</v>
      </c>
      <c r="G3" s="9">
        <v>0</v>
      </c>
      <c r="H3" s="7" t="s">
        <v>653</v>
      </c>
      <c r="I3" s="16">
        <v>0</v>
      </c>
      <c r="J3" s="7">
        <v>0</v>
      </c>
      <c r="K3" s="32">
        <v>0.80910000000000004</v>
      </c>
      <c r="L3" s="25">
        <f>J3*0.5+J3*0.5*K3</f>
        <v>0</v>
      </c>
      <c r="M3" s="33"/>
    </row>
    <row r="4" spans="1:13" ht="23.1" customHeight="1">
      <c r="A4" s="7" t="s">
        <v>161</v>
      </c>
      <c r="B4" s="10">
        <v>2802</v>
      </c>
      <c r="C4" s="11">
        <v>3082.2</v>
      </c>
      <c r="D4" s="11">
        <v>3362.4</v>
      </c>
      <c r="E4" s="11">
        <v>1</v>
      </c>
      <c r="F4" s="10">
        <v>2802</v>
      </c>
      <c r="G4" s="12">
        <v>1632.29</v>
      </c>
      <c r="H4" s="13" t="s">
        <v>653</v>
      </c>
      <c r="I4" s="12">
        <v>856.2</v>
      </c>
      <c r="J4" s="34"/>
      <c r="K4" s="32">
        <v>0.80910000000000004</v>
      </c>
      <c r="L4" s="25">
        <f t="shared" ref="L4:L9" si="0">J4*0.5+J4*0.5*K4</f>
        <v>0</v>
      </c>
      <c r="M4" s="35"/>
    </row>
    <row r="5" spans="1:13" ht="23.1" customHeight="1">
      <c r="A5" s="7" t="s">
        <v>182</v>
      </c>
      <c r="B5" s="8">
        <v>104</v>
      </c>
      <c r="C5" s="14">
        <v>114</v>
      </c>
      <c r="D5" s="14">
        <v>125</v>
      </c>
      <c r="E5" s="11">
        <v>1</v>
      </c>
      <c r="F5" s="15">
        <v>104</v>
      </c>
      <c r="G5" s="16">
        <v>75</v>
      </c>
      <c r="H5" s="7" t="s">
        <v>653</v>
      </c>
      <c r="I5" s="16">
        <v>21</v>
      </c>
      <c r="J5" s="34"/>
      <c r="K5" s="32">
        <v>0.80910000000000004</v>
      </c>
      <c r="L5" s="25">
        <f t="shared" si="0"/>
        <v>0</v>
      </c>
      <c r="M5" s="33"/>
    </row>
    <row r="6" spans="1:13" ht="23.1" customHeight="1">
      <c r="A6" s="7" t="s">
        <v>654</v>
      </c>
      <c r="B6" s="17">
        <v>641.70000000000005</v>
      </c>
      <c r="C6" s="17">
        <v>705.87</v>
      </c>
      <c r="D6" s="17">
        <v>770.04</v>
      </c>
      <c r="E6" s="17">
        <v>1</v>
      </c>
      <c r="F6" s="17">
        <v>641.70000000000005</v>
      </c>
      <c r="G6" s="16">
        <v>545.70000000000005</v>
      </c>
      <c r="H6" s="7" t="s">
        <v>653</v>
      </c>
      <c r="I6" s="16">
        <v>150.9</v>
      </c>
      <c r="J6" s="34"/>
      <c r="K6" s="32">
        <v>0.80910000000000004</v>
      </c>
      <c r="L6" s="25">
        <f t="shared" si="0"/>
        <v>0</v>
      </c>
      <c r="M6" s="33"/>
    </row>
    <row r="7" spans="1:13" ht="23.1" customHeight="1">
      <c r="A7" s="7" t="s">
        <v>4</v>
      </c>
      <c r="B7" s="18"/>
      <c r="C7" s="18"/>
      <c r="D7" s="19"/>
      <c r="E7" s="10">
        <v>4522.7299999999996</v>
      </c>
      <c r="F7" s="17">
        <v>4522.7299999999996</v>
      </c>
      <c r="G7" s="20">
        <v>5717.67</v>
      </c>
      <c r="H7" s="7"/>
      <c r="I7" s="16">
        <v>1802.24</v>
      </c>
      <c r="J7" s="25">
        <f>27.115*0.03+1775.125*0.1</f>
        <v>178.32595000000001</v>
      </c>
      <c r="K7" s="32">
        <v>0.80910000000000004</v>
      </c>
      <c r="L7" s="25">
        <f t="shared" si="0"/>
        <v>161.30473807249999</v>
      </c>
      <c r="M7" s="35"/>
    </row>
    <row r="8" spans="1:13" ht="23.1" customHeight="1">
      <c r="A8" s="7" t="s">
        <v>209</v>
      </c>
      <c r="B8" s="17">
        <v>1733.04</v>
      </c>
      <c r="C8" s="17">
        <v>1906.3440000000001</v>
      </c>
      <c r="D8" s="17">
        <v>2079.6480000000001</v>
      </c>
      <c r="E8" s="17">
        <v>1</v>
      </c>
      <c r="F8" s="17">
        <v>1733.04</v>
      </c>
      <c r="G8" s="16">
        <v>1500.5</v>
      </c>
      <c r="H8" s="7" t="s">
        <v>653</v>
      </c>
      <c r="I8" s="16">
        <v>787</v>
      </c>
      <c r="J8" s="25">
        <f>I8*0.15</f>
        <v>118.05</v>
      </c>
      <c r="K8" s="32">
        <v>0.80910000000000004</v>
      </c>
      <c r="L8" s="25">
        <f t="shared" si="0"/>
        <v>106.7821275</v>
      </c>
      <c r="M8" s="35"/>
    </row>
    <row r="9" spans="1:13" ht="23.1" customHeight="1">
      <c r="A9" s="7" t="s">
        <v>655</v>
      </c>
      <c r="B9" s="17">
        <v>15984</v>
      </c>
      <c r="C9" s="17">
        <v>17582.400000000001</v>
      </c>
      <c r="D9" s="17">
        <v>19180.8</v>
      </c>
      <c r="E9" s="17">
        <v>1</v>
      </c>
      <c r="F9" s="17">
        <v>15984</v>
      </c>
      <c r="G9" s="16">
        <v>13213.53</v>
      </c>
      <c r="H9" s="7" t="s">
        <v>653</v>
      </c>
      <c r="I9" s="16">
        <v>6546.32</v>
      </c>
      <c r="J9" s="25">
        <f>I9*0.08</f>
        <v>523.7056</v>
      </c>
      <c r="K9" s="32">
        <v>0.80910000000000004</v>
      </c>
      <c r="L9" s="25">
        <f t="shared" si="0"/>
        <v>473.71790048000003</v>
      </c>
      <c r="M9" s="35"/>
    </row>
    <row r="10" spans="1:13" ht="21" customHeight="1">
      <c r="A10" s="21"/>
      <c r="B10" s="7"/>
      <c r="C10" s="7"/>
      <c r="D10" s="7"/>
      <c r="E10" s="7"/>
      <c r="F10" s="7"/>
      <c r="G10" s="16"/>
      <c r="H10" s="7"/>
      <c r="I10" s="36" t="s">
        <v>146</v>
      </c>
      <c r="J10" s="37">
        <f>SUM(J3:J9)</f>
        <v>820.08154999999999</v>
      </c>
      <c r="K10" s="32">
        <v>0.80910000000000004</v>
      </c>
      <c r="L10" s="25">
        <f>SUM(L3:L9)</f>
        <v>741.80476605249999</v>
      </c>
      <c r="M10" s="38"/>
    </row>
    <row r="11" spans="1:13" ht="21" customHeight="1">
      <c r="A11" s="21"/>
      <c r="B11" s="19"/>
      <c r="C11" s="19"/>
      <c r="D11" s="19"/>
      <c r="E11" s="22"/>
      <c r="F11" s="315" t="s">
        <v>656</v>
      </c>
      <c r="G11" s="5" t="s">
        <v>657</v>
      </c>
      <c r="H11" s="5" t="s">
        <v>658</v>
      </c>
      <c r="I11" s="5" t="s">
        <v>659</v>
      </c>
      <c r="J11" s="36" t="s">
        <v>660</v>
      </c>
      <c r="K11" s="32">
        <v>0.80910000000000004</v>
      </c>
      <c r="L11" s="39" t="s">
        <v>661</v>
      </c>
      <c r="M11" s="40"/>
    </row>
    <row r="12" spans="1:13" ht="21" customHeight="1">
      <c r="A12" s="23"/>
      <c r="B12" s="19"/>
      <c r="C12" s="19"/>
      <c r="D12" s="19"/>
      <c r="E12" s="22"/>
      <c r="F12" s="316"/>
      <c r="G12" s="24">
        <v>66900.2</v>
      </c>
      <c r="H12" s="25">
        <v>22529.41</v>
      </c>
      <c r="I12" s="24">
        <v>1045</v>
      </c>
      <c r="J12" s="7">
        <v>1589.31</v>
      </c>
      <c r="K12" s="32">
        <v>0.80910000000000004</v>
      </c>
      <c r="L12" s="7">
        <v>1437.6</v>
      </c>
      <c r="M12" s="35"/>
    </row>
    <row r="13" spans="1:13" ht="21" customHeight="1">
      <c r="A13" s="17"/>
      <c r="B13" s="7"/>
      <c r="C13" s="7"/>
      <c r="D13" s="7"/>
      <c r="E13" s="7"/>
      <c r="F13" s="7"/>
      <c r="G13" s="7"/>
      <c r="H13" s="7"/>
      <c r="I13" s="36" t="s">
        <v>662</v>
      </c>
      <c r="J13" s="39"/>
      <c r="K13" s="39"/>
      <c r="L13" s="39">
        <f>L10+L12</f>
        <v>2179.4047660524998</v>
      </c>
      <c r="M13" s="40"/>
    </row>
    <row r="14" spans="1:13">
      <c r="E14" s="26"/>
      <c r="F14" s="26"/>
      <c r="G14" s="26"/>
      <c r="H14" s="26"/>
      <c r="I14" s="26"/>
      <c r="J14" s="26"/>
      <c r="K14" s="26"/>
    </row>
    <row r="15" spans="1:13">
      <c r="A15" s="4" t="s">
        <v>663</v>
      </c>
      <c r="D15" s="4" t="s">
        <v>641</v>
      </c>
      <c r="E15" s="26"/>
      <c r="F15" s="26"/>
      <c r="G15" s="26"/>
      <c r="H15" s="26" t="s">
        <v>642</v>
      </c>
      <c r="I15" s="26"/>
      <c r="J15" s="26"/>
      <c r="K15" s="26"/>
      <c r="L15" s="41" t="s">
        <v>643</v>
      </c>
      <c r="M15" s="41"/>
    </row>
    <row r="18" spans="1:255" s="1" customFormat="1" ht="12.95" hidden="1" customHeight="1">
      <c r="A18" s="27"/>
      <c r="B18" s="27"/>
      <c r="C18" s="27"/>
      <c r="D18" s="27"/>
      <c r="E18" s="301" t="s">
        <v>154</v>
      </c>
      <c r="F18" s="302"/>
      <c r="G18" s="302"/>
      <c r="H18" s="302"/>
      <c r="I18" s="302"/>
      <c r="J18" s="302"/>
      <c r="K18" s="302"/>
      <c r="L18" s="302"/>
      <c r="M18" s="302"/>
      <c r="N18" s="302"/>
      <c r="O18" s="302"/>
      <c r="P18" s="302"/>
      <c r="Q18" s="302"/>
      <c r="R18" s="303" t="s">
        <v>161</v>
      </c>
      <c r="S18" s="304"/>
      <c r="T18" s="304"/>
      <c r="U18" s="304"/>
      <c r="V18" s="304"/>
      <c r="W18" s="304"/>
      <c r="X18" s="304"/>
      <c r="Y18" s="304"/>
      <c r="Z18" s="304"/>
      <c r="AA18" s="304"/>
      <c r="AB18" s="305" t="s">
        <v>182</v>
      </c>
      <c r="AC18" s="305"/>
      <c r="AD18" s="305"/>
      <c r="AE18" s="305"/>
      <c r="AF18" s="305"/>
      <c r="AG18" s="305"/>
      <c r="AH18" s="305"/>
      <c r="AI18" s="305"/>
      <c r="AJ18" s="305"/>
      <c r="AK18" s="305"/>
      <c r="AL18" s="305"/>
      <c r="AM18" s="305"/>
      <c r="AN18" s="305"/>
      <c r="AO18" s="306" t="s">
        <v>3</v>
      </c>
      <c r="AP18" s="306"/>
      <c r="AQ18" s="306"/>
      <c r="AR18" s="306"/>
      <c r="AS18" s="306"/>
      <c r="AT18" s="307"/>
      <c r="AU18" s="307"/>
      <c r="AV18" s="307"/>
      <c r="AW18" s="307"/>
      <c r="AX18" s="307"/>
      <c r="AY18" s="307"/>
      <c r="AZ18" s="307"/>
      <c r="BA18" s="308" t="s">
        <v>4</v>
      </c>
      <c r="BB18" s="309"/>
      <c r="BC18" s="309"/>
      <c r="BD18" s="309"/>
      <c r="BE18" s="310"/>
      <c r="BF18" s="311" t="s">
        <v>209</v>
      </c>
      <c r="BG18" s="311"/>
      <c r="BH18" s="311"/>
      <c r="BI18" s="311"/>
      <c r="BJ18" s="311"/>
      <c r="BK18" s="312"/>
      <c r="BL18" s="312"/>
      <c r="BM18" s="312"/>
      <c r="BN18" s="312"/>
      <c r="BO18" s="312"/>
      <c r="BP18" s="313" t="s">
        <v>249</v>
      </c>
      <c r="BQ18" s="313"/>
      <c r="BR18" s="313"/>
      <c r="BS18" s="313"/>
      <c r="BT18" s="313"/>
      <c r="BU18" s="313"/>
      <c r="BV18" s="313"/>
      <c r="BW18" s="313"/>
      <c r="BX18" s="313"/>
      <c r="BY18" s="313"/>
      <c r="BZ18" s="314" t="s">
        <v>146</v>
      </c>
      <c r="CA18" s="314"/>
      <c r="CB18" s="314"/>
      <c r="CC18" s="314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24</v>
      </c>
      <c r="K19" s="42" t="s">
        <v>17</v>
      </c>
      <c r="L19" s="28" t="s">
        <v>664</v>
      </c>
      <c r="M19" s="28" t="s">
        <v>665</v>
      </c>
      <c r="N19" s="28" t="s">
        <v>20</v>
      </c>
      <c r="O19" s="28" t="s">
        <v>21</v>
      </c>
      <c r="P19" s="28" t="s">
        <v>29</v>
      </c>
      <c r="Q19" s="28" t="s">
        <v>30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24</v>
      </c>
      <c r="X19" s="6" t="s">
        <v>20</v>
      </c>
      <c r="Y19" s="6" t="s">
        <v>21</v>
      </c>
      <c r="Z19" s="6" t="s">
        <v>29</v>
      </c>
      <c r="AA19" s="6" t="s">
        <v>30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25</v>
      </c>
      <c r="AH19" s="28" t="s">
        <v>26</v>
      </c>
      <c r="AI19" s="28" t="s">
        <v>27</v>
      </c>
      <c r="AJ19" s="28" t="s">
        <v>28</v>
      </c>
      <c r="AK19" s="28" t="s">
        <v>20</v>
      </c>
      <c r="AL19" s="28" t="s">
        <v>21</v>
      </c>
      <c r="AM19" s="28" t="s">
        <v>29</v>
      </c>
      <c r="AN19" s="28" t="s">
        <v>30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31</v>
      </c>
      <c r="AU19" s="6" t="s">
        <v>32</v>
      </c>
      <c r="AV19" s="6" t="s">
        <v>33</v>
      </c>
      <c r="AW19" s="6" t="s">
        <v>20</v>
      </c>
      <c r="AX19" s="6" t="s">
        <v>21</v>
      </c>
      <c r="AY19" s="6" t="s">
        <v>29</v>
      </c>
      <c r="AZ19" s="6" t="s">
        <v>30</v>
      </c>
      <c r="BA19" s="51" t="s">
        <v>666</v>
      </c>
      <c r="BB19" s="51" t="s">
        <v>24</v>
      </c>
      <c r="BC19" s="28" t="s">
        <v>38</v>
      </c>
      <c r="BD19" s="28" t="s">
        <v>29</v>
      </c>
      <c r="BE19" s="28" t="s">
        <v>30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24</v>
      </c>
      <c r="BL19" s="6" t="s">
        <v>20</v>
      </c>
      <c r="BM19" s="6" t="s">
        <v>21</v>
      </c>
      <c r="BN19" s="6" t="s">
        <v>29</v>
      </c>
      <c r="BO19" s="6" t="s">
        <v>30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39</v>
      </c>
      <c r="BU19" s="28" t="s">
        <v>24</v>
      </c>
      <c r="BV19" s="28" t="s">
        <v>20</v>
      </c>
      <c r="BW19" s="28" t="s">
        <v>21</v>
      </c>
      <c r="BX19" s="28" t="s">
        <v>29</v>
      </c>
      <c r="BY19" s="28" t="s">
        <v>30</v>
      </c>
      <c r="BZ19" s="58" t="s">
        <v>40</v>
      </c>
      <c r="CA19" s="58" t="s">
        <v>41</v>
      </c>
      <c r="CB19" s="58" t="s">
        <v>667</v>
      </c>
      <c r="CC19" s="58" t="s">
        <v>43</v>
      </c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60"/>
      <c r="FI19" s="60"/>
      <c r="FJ19" s="60"/>
      <c r="FK19" s="60"/>
      <c r="FL19" s="60"/>
      <c r="FM19" s="60"/>
      <c r="FN19" s="60"/>
      <c r="FO19" s="60"/>
      <c r="FP19" s="60"/>
      <c r="FQ19" s="60"/>
      <c r="FR19" s="60"/>
      <c r="FS19" s="60"/>
      <c r="FT19" s="60"/>
      <c r="FU19" s="60"/>
      <c r="FV19" s="60"/>
      <c r="FW19" s="60"/>
      <c r="FX19" s="60"/>
      <c r="FY19" s="60"/>
      <c r="FZ19" s="60"/>
      <c r="GA19" s="60"/>
      <c r="GB19" s="60"/>
      <c r="GC19" s="60"/>
      <c r="GD19" s="60"/>
      <c r="GE19" s="60"/>
      <c r="GF19" s="60"/>
      <c r="GG19" s="60"/>
      <c r="GH19" s="60"/>
      <c r="GI19" s="60"/>
      <c r="GJ19" s="60"/>
      <c r="GK19" s="60"/>
      <c r="GL19" s="60"/>
      <c r="GM19" s="60"/>
      <c r="GN19" s="60"/>
      <c r="GO19" s="60"/>
      <c r="GP19" s="60"/>
      <c r="GQ19" s="60"/>
      <c r="GR19" s="60"/>
      <c r="GS19" s="60"/>
      <c r="GT19" s="60"/>
      <c r="GU19" s="60"/>
      <c r="GV19" s="60"/>
      <c r="GW19" s="60"/>
      <c r="GX19" s="60"/>
      <c r="GY19" s="60"/>
      <c r="GZ19" s="60"/>
      <c r="HA19" s="60"/>
      <c r="HB19" s="60"/>
      <c r="HC19" s="60"/>
      <c r="HD19" s="60"/>
      <c r="HE19" s="60"/>
      <c r="HF19" s="60"/>
      <c r="HG19" s="60"/>
      <c r="HH19" s="60"/>
    </row>
    <row r="20" spans="1:255" s="3" customFormat="1" ht="12.95" hidden="1" customHeight="1">
      <c r="A20" s="29">
        <v>34</v>
      </c>
      <c r="B20" s="29">
        <v>515</v>
      </c>
      <c r="C20" s="29" t="s">
        <v>82</v>
      </c>
      <c r="D20" s="29" t="s">
        <v>79</v>
      </c>
      <c r="E20" s="30">
        <v>2</v>
      </c>
      <c r="F20" s="30">
        <f>E20+1</f>
        <v>3</v>
      </c>
      <c r="G20" s="30">
        <f>F20+1</f>
        <v>4</v>
      </c>
      <c r="H20" s="30">
        <v>1</v>
      </c>
      <c r="I20" s="30">
        <v>2</v>
      </c>
      <c r="J20" s="43">
        <v>2</v>
      </c>
      <c r="K20" s="44"/>
      <c r="L20" s="43"/>
      <c r="M20" s="43">
        <v>2</v>
      </c>
      <c r="N20" s="43"/>
      <c r="O20" s="43"/>
      <c r="P20" s="43">
        <f>K20*65+L20*30+M20*20</f>
        <v>40</v>
      </c>
      <c r="Q20" s="43"/>
      <c r="R20" s="45">
        <v>3113</v>
      </c>
      <c r="S20" s="45">
        <f>R20*1.1</f>
        <v>3424.3</v>
      </c>
      <c r="T20" s="45">
        <f>R20*1.2</f>
        <v>3735.6</v>
      </c>
      <c r="U20" s="46">
        <v>1</v>
      </c>
      <c r="V20" s="46">
        <v>3113</v>
      </c>
      <c r="W20" s="46">
        <v>1719.6</v>
      </c>
      <c r="X20" s="46">
        <f>W20-V20</f>
        <v>-1393.4</v>
      </c>
      <c r="Y20" s="46">
        <f>W20-V20</f>
        <v>-1393.4</v>
      </c>
      <c r="Z20" s="46"/>
      <c r="AA20" s="46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8">
        <v>713</v>
      </c>
      <c r="AP20" s="18">
        <f>AO20*1.1</f>
        <v>784.3</v>
      </c>
      <c r="AQ20" s="18">
        <f>AO20*1.2</f>
        <v>855.6</v>
      </c>
      <c r="AR20" s="50">
        <v>1</v>
      </c>
      <c r="AS20" s="50">
        <v>713</v>
      </c>
      <c r="AT20" s="50">
        <v>476.66</v>
      </c>
      <c r="AU20" s="50">
        <v>74</v>
      </c>
      <c r="AV20" s="50">
        <f>AT20+AU20</f>
        <v>550.66</v>
      </c>
      <c r="AW20" s="50">
        <f>AV20-AO20</f>
        <v>-162.34</v>
      </c>
      <c r="AX20" s="50">
        <f>AV20-AS20</f>
        <v>-162.34</v>
      </c>
      <c r="AY20" s="50"/>
      <c r="AZ20" s="52">
        <f>AX20*0.04</f>
        <v>-6.4935999999999998</v>
      </c>
      <c r="BA20" s="53">
        <v>5492</v>
      </c>
      <c r="BB20" s="53">
        <v>3427.56</v>
      </c>
      <c r="BC20" s="53">
        <f>BB20-BA20</f>
        <v>-2064.44</v>
      </c>
      <c r="BD20" s="54">
        <f>BB20*0.1</f>
        <v>342.75599999999997</v>
      </c>
      <c r="BE20" s="54">
        <f>BC20*0.06</f>
        <v>-123.8664</v>
      </c>
      <c r="BF20" s="55">
        <v>1925.6</v>
      </c>
      <c r="BG20" s="46">
        <f>BF20*1.1</f>
        <v>2118.16</v>
      </c>
      <c r="BH20" s="46">
        <f>BF20*1.2</f>
        <v>2310.7199999999998</v>
      </c>
      <c r="BI20" s="55">
        <v>1</v>
      </c>
      <c r="BJ20" s="55">
        <v>1925.6</v>
      </c>
      <c r="BK20" s="55">
        <v>2234.65</v>
      </c>
      <c r="BL20" s="55">
        <f>BK20-BJ20</f>
        <v>309.05</v>
      </c>
      <c r="BM20" s="55">
        <f>BK20-BJ20</f>
        <v>309.05</v>
      </c>
      <c r="BN20" s="55">
        <f>BK20*15%</f>
        <v>335.19749999999999</v>
      </c>
      <c r="BO20" s="55"/>
      <c r="BP20" s="56">
        <v>17760</v>
      </c>
      <c r="BQ20" s="57">
        <f>BP20*1.08</f>
        <v>19180.8</v>
      </c>
      <c r="BR20" s="57">
        <f>BQ20*1.08</f>
        <v>20715.263999999999</v>
      </c>
      <c r="BS20" s="56">
        <v>1</v>
      </c>
      <c r="BT20" s="56">
        <v>17760</v>
      </c>
      <c r="BU20" s="59">
        <v>16349.09</v>
      </c>
      <c r="BV20" s="59">
        <f>BU20-BT20</f>
        <v>-1410.91</v>
      </c>
      <c r="BW20" s="59">
        <f>BU20-BT20</f>
        <v>-1410.91</v>
      </c>
      <c r="BX20" s="59">
        <f>BU20*0.08</f>
        <v>1307.9272000000001</v>
      </c>
      <c r="BY20" s="59">
        <f>BV20*0.05</f>
        <v>-70.545500000000004</v>
      </c>
      <c r="BZ20" s="29">
        <f>P20+Z20+AM20+AY20+BD20+BN20+BX20</f>
        <v>2025.8806999999999</v>
      </c>
      <c r="CA20" s="29"/>
      <c r="CB20" s="29"/>
      <c r="CC20" s="29"/>
      <c r="GY20" s="26"/>
      <c r="GZ20" s="26"/>
      <c r="HA20" s="26"/>
      <c r="HB20" s="26"/>
      <c r="HC20" s="26"/>
      <c r="HD20" s="26"/>
      <c r="HE20" s="26"/>
      <c r="HF20" s="26"/>
      <c r="HG20" s="26"/>
      <c r="HH20" s="26"/>
      <c r="HI20" s="26"/>
      <c r="HJ20" s="26"/>
      <c r="HK20" s="26"/>
      <c r="HL20" s="26"/>
      <c r="HM20" s="26"/>
      <c r="HN20" s="26"/>
      <c r="HO20" s="26"/>
      <c r="HP20" s="26"/>
      <c r="HQ20" s="26"/>
      <c r="HR20" s="26"/>
      <c r="HS20" s="26"/>
      <c r="HT20" s="26"/>
      <c r="HU20" s="26"/>
      <c r="HV20" s="26"/>
      <c r="HW20" s="26"/>
      <c r="HX20" s="26"/>
      <c r="HY20" s="26"/>
      <c r="HZ20" s="26"/>
      <c r="IA20" s="26"/>
      <c r="IB20" s="26"/>
      <c r="IC20" s="26"/>
      <c r="ID20" s="26"/>
      <c r="IE20" s="26"/>
      <c r="IF20" s="26"/>
      <c r="IG20" s="26"/>
      <c r="IH20" s="26"/>
      <c r="II20" s="26"/>
      <c r="IJ20" s="26"/>
      <c r="IK20" s="26"/>
      <c r="IL20" s="26"/>
      <c r="IM20" s="26"/>
      <c r="IN20" s="26"/>
      <c r="IO20" s="26"/>
      <c r="IP20" s="26"/>
      <c r="IQ20" s="26"/>
      <c r="IR20" s="26"/>
      <c r="IS20" s="26"/>
      <c r="IT20" s="26"/>
      <c r="IU20" s="26"/>
    </row>
    <row r="22" spans="1:255">
      <c r="L22" s="4" t="s">
        <v>668</v>
      </c>
    </row>
    <row r="23" spans="1:255">
      <c r="L23" s="4" t="s">
        <v>669</v>
      </c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14" type="noConversion"/>
  <pageMargins left="1.062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2019-04-12T12:36:37Z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