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会员发展任务及会员消费占比任务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xlnm._FilterDatabase" localSheetId="0" hidden="1">会员发展任务及会员消费占比任务!$A$2:$N$107</definedName>
  </definedNames>
  <calcPr calcId="144525"/>
</workbook>
</file>

<file path=xl/sharedStrings.xml><?xml version="1.0" encoding="utf-8"?>
<sst xmlns="http://schemas.openxmlformats.org/spreadsheetml/2006/main" count="245" uniqueCount="147">
  <si>
    <t>2019年3月会员任务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</si>
  <si>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</si>
  <si>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</si>
  <si>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</si>
  <si>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</si>
  <si>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</si>
  <si>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1月会员消费占比</t>
  </si>
  <si>
    <t>1月客流</t>
  </si>
  <si>
    <t>2月会员发展任务（数据）</t>
  </si>
  <si>
    <t>会员发展任务</t>
  </si>
  <si>
    <t>3月会员消费占比任务</t>
  </si>
  <si>
    <t>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</si>
  <si>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</si>
  <si>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</si>
  <si>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</si>
  <si>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</si>
  <si>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</si>
  <si>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</si>
  <si>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</si>
  <si>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</si>
  <si>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</si>
  <si>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</si>
  <si>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</si>
  <si>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</si>
  <si>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</si>
  <si>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</si>
  <si>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</si>
  <si>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</si>
  <si>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</si>
  <si>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</si>
  <si>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</si>
  <si>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</si>
  <si>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</si>
  <si>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</si>
  <si>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</si>
  <si>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</si>
  <si>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</si>
  <si>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</si>
  <si>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</si>
  <si>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</si>
  <si>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</si>
  <si>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</si>
  <si>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</si>
  <si>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</si>
  <si>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</si>
  <si>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</si>
  <si>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</si>
  <si>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</si>
  <si>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</si>
  <si>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</si>
  <si>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</si>
  <si>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</si>
  <si>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</si>
  <si>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</si>
  <si>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</si>
  <si>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</si>
  <si>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</si>
  <si>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</si>
  <si>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</si>
  <si>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</si>
  <si>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</si>
  <si>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</si>
  <si>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</si>
  <si>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</si>
  <si>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</si>
  <si>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</si>
  <si>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</si>
  <si>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</si>
  <si>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</si>
  <si>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</si>
  <si>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</si>
  <si>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</si>
  <si>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</si>
  <si>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</si>
  <si>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</si>
  <si>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</si>
  <si>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</si>
  <si>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</si>
  <si>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</si>
  <si>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</si>
  <si>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</si>
  <si>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</si>
  <si>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</si>
  <si>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</si>
  <si>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</si>
  <si>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</si>
  <si>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</si>
  <si>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</si>
  <si>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</si>
  <si>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</si>
  <si>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</si>
  <si>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</si>
  <si>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</si>
  <si>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</si>
  <si>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</si>
  <si>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</si>
  <si>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</si>
  <si>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</si>
  <si>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</si>
  <si>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</si>
  <si>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</si>
  <si>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</si>
  <si>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</si>
  <si>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</si>
  <si>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</si>
  <si>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</si>
  <si>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</si>
  <si>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</si>
  <si>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</si>
  <si>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</si>
  <si>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</si>
  <si>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</si>
  <si>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</si>
  <si>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</si>
  <si>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</si>
  <si>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</si>
  <si>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</si>
  <si>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</si>
  <si>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</si>
  <si>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</si>
  <si>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</si>
  <si>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</si>
  <si>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</si>
  <si>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</si>
  <si>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</si>
  <si>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</si>
  <si>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</si>
  <si>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</si>
  <si>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</si>
  <si>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</si>
  <si>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2018.10.28</t>
  </si>
  <si>
    <t>蜀州中路药店</t>
  </si>
  <si>
    <t>2018.12.17</t>
  </si>
  <si>
    <t>蜀汉路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</si>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</sst>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31" fillId="21" borderId="6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11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2" borderId="1" xfId="1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11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1&#26376;&#20250;&#21592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16321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3614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3296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2347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1166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2629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1385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8905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6863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5657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3022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3376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3247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2082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2894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1964</v>
          </cell>
        </row>
        <row r="19">
          <cell r="B19">
            <v>345</v>
          </cell>
          <cell r="C19" t="str">
            <v>四川太极交大药店</v>
          </cell>
          <cell r="D19" t="str">
            <v/>
          </cell>
          <cell r="E19">
            <v>2009</v>
          </cell>
          <cell r="F19">
            <v>8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7460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6273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3878</v>
          </cell>
        </row>
        <row r="23">
          <cell r="B23">
            <v>365</v>
          </cell>
          <cell r="C23" t="str">
            <v>四川太极光华村街药店</v>
          </cell>
          <cell r="D23" t="str">
            <v>是</v>
          </cell>
          <cell r="E23">
            <v>2010</v>
          </cell>
          <cell r="F23">
            <v>4535</v>
          </cell>
        </row>
        <row r="24">
          <cell r="B24">
            <v>387</v>
          </cell>
          <cell r="C24" t="str">
            <v>四川太极新乐中街药店</v>
          </cell>
          <cell r="D24" t="str">
            <v/>
          </cell>
          <cell r="E24">
            <v>2010</v>
          </cell>
          <cell r="F24">
            <v>5380</v>
          </cell>
        </row>
        <row r="25">
          <cell r="B25">
            <v>359</v>
          </cell>
          <cell r="C25" t="str">
            <v>四川太极枣子巷药店</v>
          </cell>
          <cell r="D25" t="str">
            <v/>
          </cell>
          <cell r="E25">
            <v>2010</v>
          </cell>
          <cell r="F25">
            <v>4980</v>
          </cell>
        </row>
        <row r="26">
          <cell r="B26">
            <v>546</v>
          </cell>
          <cell r="C26" t="str">
            <v>四川太极锦江区榕声路店</v>
          </cell>
          <cell r="D26" t="str">
            <v/>
          </cell>
          <cell r="E26">
            <v>2010</v>
          </cell>
          <cell r="F26">
            <v>4999</v>
          </cell>
        </row>
        <row r="27">
          <cell r="B27">
            <v>513</v>
          </cell>
          <cell r="C27" t="str">
            <v>四川太极武侯区顺和街店</v>
          </cell>
          <cell r="D27" t="str">
            <v/>
          </cell>
          <cell r="E27">
            <v>2010</v>
          </cell>
          <cell r="F27">
            <v>4202</v>
          </cell>
        </row>
        <row r="28">
          <cell r="B28">
            <v>373</v>
          </cell>
          <cell r="C28" t="str">
            <v>四川太极通盈街药店</v>
          </cell>
          <cell r="D28" t="str">
            <v/>
          </cell>
          <cell r="E28">
            <v>2010</v>
          </cell>
          <cell r="F28">
            <v>4578</v>
          </cell>
        </row>
        <row r="29">
          <cell r="B29">
            <v>391</v>
          </cell>
          <cell r="C29" t="str">
            <v>四川太极金丝街药店</v>
          </cell>
          <cell r="D29" t="str">
            <v/>
          </cell>
          <cell r="E29">
            <v>2010</v>
          </cell>
          <cell r="F29">
            <v>3528</v>
          </cell>
        </row>
        <row r="30">
          <cell r="B30">
            <v>379</v>
          </cell>
          <cell r="C30" t="str">
            <v>四川太极土龙路药店</v>
          </cell>
          <cell r="D30" t="str">
            <v/>
          </cell>
          <cell r="E30">
            <v>2010</v>
          </cell>
          <cell r="F30">
            <v>3831</v>
          </cell>
        </row>
        <row r="31">
          <cell r="B31">
            <v>377</v>
          </cell>
          <cell r="C31" t="str">
            <v>四川太极新园大道药店</v>
          </cell>
          <cell r="D31" t="str">
            <v/>
          </cell>
          <cell r="E31">
            <v>2010</v>
          </cell>
          <cell r="F31">
            <v>4756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3577</v>
          </cell>
        </row>
        <row r="33">
          <cell r="B33">
            <v>514</v>
          </cell>
          <cell r="C33" t="str">
            <v>四川太极新津邓双镇岷江店</v>
          </cell>
          <cell r="D33" t="str">
            <v/>
          </cell>
          <cell r="E33">
            <v>2010</v>
          </cell>
          <cell r="F33">
            <v>4091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3545</v>
          </cell>
        </row>
        <row r="35">
          <cell r="B35">
            <v>511</v>
          </cell>
          <cell r="C35" t="str">
            <v>四川太极成华杉板桥南一路店</v>
          </cell>
          <cell r="D35" t="str">
            <v/>
          </cell>
          <cell r="E35">
            <v>2010</v>
          </cell>
          <cell r="F35">
            <v>4153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2760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3035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2833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2773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1151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1894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1755</v>
          </cell>
        </row>
        <row r="43">
          <cell r="B43">
            <v>539</v>
          </cell>
          <cell r="C43" t="str">
            <v>四川太极大邑县晋原镇子龙路店</v>
          </cell>
          <cell r="D43" t="str">
            <v/>
          </cell>
          <cell r="E43">
            <v>2010</v>
          </cell>
          <cell r="F43">
            <v>943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8471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5932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5306</v>
          </cell>
        </row>
        <row r="47">
          <cell r="B47">
            <v>730</v>
          </cell>
          <cell r="C47" t="str">
            <v>四川太极新都区新繁镇繁江北路药店</v>
          </cell>
          <cell r="D47" t="str">
            <v/>
          </cell>
          <cell r="E47">
            <v>2011</v>
          </cell>
          <cell r="F47">
            <v>5598</v>
          </cell>
        </row>
        <row r="48">
          <cell r="B48">
            <v>585</v>
          </cell>
          <cell r="C48" t="str">
            <v>四川太极成华区羊子山西路药店（兴元华盛）</v>
          </cell>
          <cell r="D48" t="str">
            <v/>
          </cell>
          <cell r="E48">
            <v>2011</v>
          </cell>
          <cell r="F48">
            <v>5090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6252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5162</v>
          </cell>
        </row>
        <row r="51">
          <cell r="B51">
            <v>578</v>
          </cell>
          <cell r="C51" t="str">
            <v>四川太极成华区华油路药店</v>
          </cell>
          <cell r="D51" t="str">
            <v/>
          </cell>
          <cell r="E51">
            <v>2011</v>
          </cell>
          <cell r="F51">
            <v>4914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3745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4239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3461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3392</v>
          </cell>
        </row>
        <row r="56">
          <cell r="B56">
            <v>584</v>
          </cell>
          <cell r="C56" t="str">
            <v>四川太极高新区中和街道柳荫街药店</v>
          </cell>
          <cell r="D56" t="str">
            <v/>
          </cell>
          <cell r="E56">
            <v>2011</v>
          </cell>
          <cell r="F56">
            <v>2815</v>
          </cell>
        </row>
        <row r="57">
          <cell r="B57">
            <v>721</v>
          </cell>
          <cell r="C57" t="str">
            <v>四川太极邛崃市临邛镇洪川小区药店</v>
          </cell>
          <cell r="D57" t="str">
            <v/>
          </cell>
          <cell r="E57">
            <v>2011</v>
          </cell>
          <cell r="F57">
            <v>2729</v>
          </cell>
        </row>
        <row r="58">
          <cell r="B58">
            <v>704</v>
          </cell>
          <cell r="C58" t="str">
            <v>四川太极都江堰奎光路中段药店</v>
          </cell>
          <cell r="D58" t="str">
            <v/>
          </cell>
          <cell r="E58">
            <v>2011</v>
          </cell>
          <cell r="F58">
            <v>1938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2383</v>
          </cell>
        </row>
        <row r="60">
          <cell r="B60">
            <v>587</v>
          </cell>
          <cell r="C60" t="str">
            <v>四川太极都江堰景中路店</v>
          </cell>
          <cell r="D60" t="str">
            <v/>
          </cell>
          <cell r="E60">
            <v>2011</v>
          </cell>
          <cell r="F60">
            <v>1804</v>
          </cell>
        </row>
        <row r="61">
          <cell r="B61">
            <v>716</v>
          </cell>
          <cell r="C61" t="str">
            <v>四川太极大邑县沙渠镇方圆路药店</v>
          </cell>
          <cell r="D61" t="str">
            <v/>
          </cell>
          <cell r="E61">
            <v>2011</v>
          </cell>
          <cell r="F61">
            <v>2429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2446</v>
          </cell>
        </row>
        <row r="63">
          <cell r="B63">
            <v>723</v>
          </cell>
          <cell r="C63" t="str">
            <v>四川太极锦江区柳翠路药店</v>
          </cell>
          <cell r="D63" t="str">
            <v/>
          </cell>
          <cell r="E63">
            <v>2011</v>
          </cell>
          <cell r="F63">
            <v>2427</v>
          </cell>
        </row>
        <row r="64">
          <cell r="B64">
            <v>591</v>
          </cell>
          <cell r="C64" t="str">
            <v>四川太极邛崃市临邛镇长安大道药店</v>
          </cell>
          <cell r="D64" t="str">
            <v/>
          </cell>
          <cell r="E64">
            <v>2011</v>
          </cell>
          <cell r="F64">
            <v>2076</v>
          </cell>
        </row>
        <row r="65">
          <cell r="B65">
            <v>594</v>
          </cell>
          <cell r="C65" t="str">
            <v>四川太极大邑县安仁镇千禧街药店</v>
          </cell>
          <cell r="D65" t="str">
            <v/>
          </cell>
          <cell r="E65">
            <v>2011</v>
          </cell>
          <cell r="F65">
            <v>1672</v>
          </cell>
        </row>
        <row r="66">
          <cell r="B66">
            <v>733</v>
          </cell>
          <cell r="C66" t="str">
            <v>四川太极双流区东升街道三强西路药店</v>
          </cell>
          <cell r="D66" t="str">
            <v/>
          </cell>
          <cell r="E66">
            <v>2011</v>
          </cell>
          <cell r="F66">
            <v>2454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1650</v>
          </cell>
        </row>
        <row r="68">
          <cell r="B68">
            <v>720</v>
          </cell>
          <cell r="C68" t="str">
            <v>四川太极大邑县新场镇文昌街药店</v>
          </cell>
          <cell r="D68" t="str">
            <v/>
          </cell>
          <cell r="E68">
            <v>2011</v>
          </cell>
          <cell r="F68">
            <v>1689</v>
          </cell>
        </row>
        <row r="69">
          <cell r="B69">
            <v>706</v>
          </cell>
          <cell r="C69" t="str">
            <v>四川太极都江堰幸福镇翔凤路药店</v>
          </cell>
          <cell r="D69" t="str">
            <v/>
          </cell>
          <cell r="E69">
            <v>2011</v>
          </cell>
          <cell r="F69">
            <v>1764</v>
          </cell>
        </row>
        <row r="70">
          <cell r="B70">
            <v>718</v>
          </cell>
          <cell r="C70" t="str">
            <v>四川太极龙泉驿区龙泉街道驿生路药店</v>
          </cell>
          <cell r="D70" t="str">
            <v/>
          </cell>
          <cell r="E70">
            <v>2011</v>
          </cell>
          <cell r="F70">
            <v>1516</v>
          </cell>
        </row>
        <row r="71">
          <cell r="B71">
            <v>732</v>
          </cell>
          <cell r="C71" t="str">
            <v>四川太极邛崃市羊安镇永康大道药店</v>
          </cell>
          <cell r="D71" t="str">
            <v/>
          </cell>
          <cell r="E71">
            <v>2011</v>
          </cell>
          <cell r="F71">
            <v>1380</v>
          </cell>
        </row>
        <row r="72">
          <cell r="B72">
            <v>710</v>
          </cell>
          <cell r="C72" t="str">
            <v>四川太极都江堰市蒲阳镇堰问道西路药店</v>
          </cell>
          <cell r="D72" t="str">
            <v/>
          </cell>
          <cell r="E72">
            <v>2011</v>
          </cell>
          <cell r="F72">
            <v>1772</v>
          </cell>
        </row>
        <row r="73">
          <cell r="B73">
            <v>713</v>
          </cell>
          <cell r="C73" t="str">
            <v>四川太极都江堰聚源镇药店</v>
          </cell>
          <cell r="D73" t="str">
            <v/>
          </cell>
          <cell r="E73">
            <v>2011</v>
          </cell>
          <cell r="F73">
            <v>905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2122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1375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3863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10144</v>
          </cell>
        </row>
        <row r="78">
          <cell r="B78">
            <v>102934</v>
          </cell>
          <cell r="C78" t="str">
            <v>四川太极金牛区银河北街药店</v>
          </cell>
          <cell r="D78" t="str">
            <v/>
          </cell>
          <cell r="E78" t="str">
            <v/>
          </cell>
          <cell r="F78">
            <v>4608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4689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3850</v>
          </cell>
        </row>
        <row r="81">
          <cell r="B81">
            <v>742</v>
          </cell>
          <cell r="C81" t="str">
            <v>四川太极锦江区庆云南街药店</v>
          </cell>
          <cell r="D81" t="str">
            <v/>
          </cell>
          <cell r="E81" t="str">
            <v/>
          </cell>
          <cell r="F81">
            <v>2662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2692</v>
          </cell>
        </row>
        <row r="83">
          <cell r="B83">
            <v>103198</v>
          </cell>
          <cell r="C83" t="str">
            <v>四川太极青羊区贝森北路药店</v>
          </cell>
          <cell r="D83" t="str">
            <v/>
          </cell>
          <cell r="E83" t="str">
            <v/>
          </cell>
          <cell r="F83">
            <v>3552</v>
          </cell>
        </row>
        <row r="84">
          <cell r="B84">
            <v>103639</v>
          </cell>
          <cell r="C84" t="str">
            <v>四川太极成华区金马河路药店</v>
          </cell>
          <cell r="D84" t="str">
            <v/>
          </cell>
          <cell r="E84" t="str">
            <v/>
          </cell>
          <cell r="F84">
            <v>2951</v>
          </cell>
        </row>
        <row r="85">
          <cell r="B85">
            <v>102565</v>
          </cell>
          <cell r="C85" t="str">
            <v>四川太极武侯区佳灵路药店</v>
          </cell>
          <cell r="D85" t="str">
            <v/>
          </cell>
          <cell r="E85" t="str">
            <v/>
          </cell>
          <cell r="F85">
            <v>3901</v>
          </cell>
        </row>
        <row r="86">
          <cell r="B86">
            <v>745</v>
          </cell>
          <cell r="C86" t="str">
            <v>四川太极金牛区金沙路药店</v>
          </cell>
          <cell r="D86" t="str">
            <v/>
          </cell>
          <cell r="E86" t="str">
            <v/>
          </cell>
          <cell r="F86">
            <v>2994</v>
          </cell>
        </row>
        <row r="87">
          <cell r="B87">
            <v>101453</v>
          </cell>
          <cell r="C87" t="str">
            <v>四川太极温江区公平街道江安路药店</v>
          </cell>
          <cell r="D87" t="str">
            <v/>
          </cell>
          <cell r="E87" t="str">
            <v/>
          </cell>
          <cell r="F87">
            <v>3316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3102</v>
          </cell>
        </row>
        <row r="89">
          <cell r="B89">
            <v>103199</v>
          </cell>
          <cell r="C89" t="str">
            <v>四川太极成华区西林一街药店</v>
          </cell>
          <cell r="D89" t="str">
            <v/>
          </cell>
          <cell r="E89" t="str">
            <v/>
          </cell>
          <cell r="F89">
            <v>2968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3003</v>
          </cell>
        </row>
        <row r="91">
          <cell r="B91">
            <v>752</v>
          </cell>
          <cell r="C91" t="str">
            <v>四川太极大药房连锁有限公司武侯区聚萃街药店</v>
          </cell>
          <cell r="D91" t="str">
            <v/>
          </cell>
          <cell r="E91" t="str">
            <v/>
          </cell>
          <cell r="F91">
            <v>2274</v>
          </cell>
        </row>
        <row r="92">
          <cell r="B92">
            <v>748</v>
          </cell>
          <cell r="C92" t="str">
            <v>四川太极大邑县晋原镇东街药店</v>
          </cell>
          <cell r="D92" t="str">
            <v/>
          </cell>
          <cell r="E92" t="str">
            <v/>
          </cell>
          <cell r="F92">
            <v>2240</v>
          </cell>
        </row>
        <row r="93">
          <cell r="B93">
            <v>102479</v>
          </cell>
          <cell r="C93" t="str">
            <v>四川太极锦江区劼人路药店</v>
          </cell>
          <cell r="D93" t="str">
            <v/>
          </cell>
          <cell r="E93" t="str">
            <v/>
          </cell>
          <cell r="F93">
            <v>2745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1712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1984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/>
          </cell>
          <cell r="E96" t="str">
            <v/>
          </cell>
          <cell r="F96">
            <v>1492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1722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1632</v>
          </cell>
        </row>
        <row r="99">
          <cell r="B99">
            <v>104429</v>
          </cell>
          <cell r="C99" t="str">
            <v>四川太极武侯区大华街药店</v>
          </cell>
          <cell r="D99" t="str">
            <v/>
          </cell>
          <cell r="E99" t="str">
            <v/>
          </cell>
          <cell r="F99">
            <v>1305</v>
          </cell>
        </row>
        <row r="100">
          <cell r="B100">
            <v>104428</v>
          </cell>
          <cell r="C100" t="str">
            <v>四川太极崇州市崇阳镇永康东路药店 </v>
          </cell>
          <cell r="D100" t="str">
            <v/>
          </cell>
          <cell r="E100" t="str">
            <v/>
          </cell>
          <cell r="F100">
            <v>1056</v>
          </cell>
        </row>
        <row r="101">
          <cell r="B101">
            <v>104533</v>
          </cell>
          <cell r="C101" t="str">
            <v>四川太极大邑县晋原镇潘家街药店</v>
          </cell>
          <cell r="D101" t="str">
            <v/>
          </cell>
          <cell r="E101" t="str">
            <v/>
          </cell>
          <cell r="F101">
            <v>1508</v>
          </cell>
        </row>
        <row r="102">
          <cell r="B102">
            <v>104430</v>
          </cell>
          <cell r="C102" t="str">
            <v>四川太极高新区中和大道药店</v>
          </cell>
          <cell r="D102" t="str">
            <v/>
          </cell>
          <cell r="E102" t="str">
            <v/>
          </cell>
          <cell r="F102">
            <v>1325</v>
          </cell>
        </row>
        <row r="103">
          <cell r="B103">
            <v>104838</v>
          </cell>
          <cell r="C103" t="str">
            <v>四川太极崇州市崇阳镇蜀州中路药店</v>
          </cell>
          <cell r="D103" t="str">
            <v/>
          </cell>
          <cell r="E103" t="str">
            <v/>
          </cell>
          <cell r="F103">
            <v>1221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1322</v>
          </cell>
        </row>
        <row r="105">
          <cell r="B105">
            <v>755</v>
          </cell>
          <cell r="C105" t="str">
            <v>四川太极温江区柳城街道鱼凫路药店</v>
          </cell>
          <cell r="D105" t="str">
            <v/>
          </cell>
          <cell r="E105" t="str">
            <v/>
          </cell>
          <cell r="F105">
            <v>336</v>
          </cell>
        </row>
        <row r="106">
          <cell r="B106">
            <v>105751</v>
          </cell>
          <cell r="C106" t="str">
            <v>四川太极高新区新下街药店</v>
          </cell>
          <cell r="D106" t="str">
            <v/>
          </cell>
          <cell r="E106" t="str">
            <v/>
          </cell>
          <cell r="F106">
            <v>25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342788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abSelected="1" topLeftCell="A88" workbookViewId="0">
      <selection activeCell="I107" sqref="I107"/>
    </sheetView>
  </sheetViews>
  <sheetFormatPr defaultColWidth="9" defaultRowHeight="13.5"/>
  <cols>
    <col min="1" max="2" width="9" style="1"/>
    <col min="3" max="3" width="9" style="3"/>
    <col min="4" max="4" width="13.375" style="3" hidden="1" customWidth="1"/>
    <col min="5" max="5" width="25" style="3" customWidth="1"/>
    <col min="6" max="8" width="25" style="4" hidden="1" customWidth="1"/>
    <col min="9" max="9" width="19" style="1" customWidth="1"/>
    <col min="10" max="10" width="25" style="4" hidden="1" customWidth="1"/>
    <col min="11" max="11" width="19.5" style="5" customWidth="1"/>
    <col min="12" max="12" width="11.5" style="1" hidden="1" customWidth="1"/>
    <col min="13" max="13" width="12.625" style="1" hidden="1" customWidth="1"/>
    <col min="14" max="16384" width="9" style="1"/>
  </cols>
  <sheetData>
    <row r="1" ht="22.5" spans="1:10">
      <c r="A1" s="6" t="s">
        <v>0</v>
      </c>
      <c r="B1" s="6"/>
      <c r="C1" s="7"/>
      <c r="D1" s="7"/>
      <c r="E1" s="7"/>
      <c r="F1" s="8"/>
      <c r="G1" s="8"/>
      <c r="H1" s="8"/>
      <c r="I1" s="6"/>
      <c r="J1" s="8"/>
    </row>
    <row r="2" s="1" customFormat="1" ht="30.75" spans="1:12">
      <c r="A2" s="9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9" t="s">
        <v>6</v>
      </c>
      <c r="G2" s="9" t="s">
        <v>7</v>
      </c>
      <c r="H2" s="12" t="s">
        <v>8</v>
      </c>
      <c r="I2" s="12" t="s">
        <v>9</v>
      </c>
      <c r="J2" s="9" t="s">
        <v>6</v>
      </c>
      <c r="K2" s="18" t="s">
        <v>10</v>
      </c>
      <c r="L2" s="19" t="s">
        <v>11</v>
      </c>
    </row>
    <row r="3" spans="1:13">
      <c r="A3" s="13">
        <v>1</v>
      </c>
      <c r="B3" s="13">
        <v>357</v>
      </c>
      <c r="C3" s="14" t="s">
        <v>12</v>
      </c>
      <c r="D3" s="14"/>
      <c r="E3" s="14" t="s">
        <v>13</v>
      </c>
      <c r="F3" s="15">
        <v>0.6926</v>
      </c>
      <c r="G3" s="16">
        <f>VLOOKUP(B:B,[2]查询门店会员消费占比!$B$1:$F$65536,5,0)</f>
        <v>3022</v>
      </c>
      <c r="H3" s="16">
        <f>G3*0.08</f>
        <v>241.76</v>
      </c>
      <c r="I3" s="20">
        <f>ROUND(H3/31*28,0)</f>
        <v>218</v>
      </c>
      <c r="J3" s="15">
        <v>0.6926</v>
      </c>
      <c r="K3" s="21">
        <v>0.67677</v>
      </c>
      <c r="L3" s="19">
        <v>203280</v>
      </c>
      <c r="M3" s="1">
        <f>L3*K3</f>
        <v>137573.8056</v>
      </c>
    </row>
    <row r="4" spans="1:13">
      <c r="A4" s="13">
        <v>2</v>
      </c>
      <c r="B4" s="13">
        <v>365</v>
      </c>
      <c r="C4" s="14" t="s">
        <v>12</v>
      </c>
      <c r="D4" s="14"/>
      <c r="E4" s="14" t="s">
        <v>14</v>
      </c>
      <c r="F4" s="15">
        <v>0.7166</v>
      </c>
      <c r="G4" s="16">
        <f>VLOOKUP(B:B,[2]查询门店会员消费占比!$B$1:$F$65536,5,0)</f>
        <v>4535</v>
      </c>
      <c r="H4" s="16">
        <f>G4*0.06</f>
        <v>272.1</v>
      </c>
      <c r="I4" s="20">
        <f t="shared" ref="I4:I35" si="0">ROUND(H4/31*28,0)</f>
        <v>246</v>
      </c>
      <c r="J4" s="15">
        <v>0.7166</v>
      </c>
      <c r="K4" s="21">
        <v>0.75327</v>
      </c>
      <c r="L4" s="19">
        <v>302400</v>
      </c>
      <c r="M4" s="1">
        <f t="shared" ref="M4:M35" si="1">L4*K4</f>
        <v>227788.848</v>
      </c>
    </row>
    <row r="5" spans="1:13">
      <c r="A5" s="13">
        <v>3</v>
      </c>
      <c r="B5" s="13">
        <v>399</v>
      </c>
      <c r="C5" s="14" t="s">
        <v>15</v>
      </c>
      <c r="D5" s="14"/>
      <c r="E5" s="14" t="s">
        <v>16</v>
      </c>
      <c r="F5" s="15">
        <v>0.793</v>
      </c>
      <c r="G5" s="16">
        <f>VLOOKUP(B:B,[2]查询门店会员消费占比!$B$1:$F$65536,5,0)</f>
        <v>3577</v>
      </c>
      <c r="H5" s="16">
        <f>G5*0.06</f>
        <v>214.62</v>
      </c>
      <c r="I5" s="20">
        <f t="shared" si="0"/>
        <v>194</v>
      </c>
      <c r="J5" s="15">
        <v>0.793</v>
      </c>
      <c r="K5" s="21">
        <v>0.72114</v>
      </c>
      <c r="L5" s="19">
        <v>221760</v>
      </c>
      <c r="M5" s="1">
        <f t="shared" si="1"/>
        <v>159920.0064</v>
      </c>
    </row>
    <row r="6" spans="1:13">
      <c r="A6" s="13">
        <v>4</v>
      </c>
      <c r="B6" s="13">
        <v>754</v>
      </c>
      <c r="C6" s="14" t="s">
        <v>17</v>
      </c>
      <c r="D6" s="14"/>
      <c r="E6" s="14" t="s">
        <v>18</v>
      </c>
      <c r="F6" s="15">
        <v>0.5263</v>
      </c>
      <c r="G6" s="16">
        <f>VLOOKUP(B:B,[2]查询门店会员消费占比!$B$1:$F$65536,5,0)</f>
        <v>3850</v>
      </c>
      <c r="H6" s="16">
        <f>G6*0.1</f>
        <v>385</v>
      </c>
      <c r="I6" s="20">
        <f t="shared" si="0"/>
        <v>348</v>
      </c>
      <c r="J6" s="15">
        <v>0.5263</v>
      </c>
      <c r="K6" s="21">
        <v>0.637194</v>
      </c>
      <c r="L6" s="19">
        <v>209440</v>
      </c>
      <c r="M6" s="1">
        <f t="shared" si="1"/>
        <v>133453.91136</v>
      </c>
    </row>
    <row r="7" spans="1:13">
      <c r="A7" s="13">
        <v>5</v>
      </c>
      <c r="B7" s="13">
        <v>351</v>
      </c>
      <c r="C7" s="14" t="s">
        <v>17</v>
      </c>
      <c r="D7" s="14"/>
      <c r="E7" s="14" t="s">
        <v>19</v>
      </c>
      <c r="F7" s="15">
        <v>0.8051</v>
      </c>
      <c r="G7" s="16">
        <f>VLOOKUP(B:B,[2]查询门店会员消费占比!$B$1:$F$65536,5,0)</f>
        <v>2082</v>
      </c>
      <c r="H7" s="16">
        <f>G7*0.04</f>
        <v>83.28</v>
      </c>
      <c r="I7" s="20">
        <f t="shared" si="0"/>
        <v>75</v>
      </c>
      <c r="J7" s="15">
        <v>0.8051</v>
      </c>
      <c r="K7" s="22">
        <v>0.82315</v>
      </c>
      <c r="L7" s="19">
        <v>184800</v>
      </c>
      <c r="M7" s="1">
        <f t="shared" si="1"/>
        <v>152118.12</v>
      </c>
    </row>
    <row r="8" spans="1:13">
      <c r="A8" s="13">
        <v>6</v>
      </c>
      <c r="B8" s="13">
        <v>52</v>
      </c>
      <c r="C8" s="14" t="s">
        <v>17</v>
      </c>
      <c r="D8" s="14"/>
      <c r="E8" s="14" t="s">
        <v>20</v>
      </c>
      <c r="F8" s="15">
        <v>0.7477</v>
      </c>
      <c r="G8" s="16">
        <f>VLOOKUP(B:B,[2]查询门店会员消费占比!$B$1:$F$65536,5,0)</f>
        <v>2629</v>
      </c>
      <c r="H8" s="16">
        <f>G8*0.06</f>
        <v>157.74</v>
      </c>
      <c r="I8" s="20">
        <f t="shared" si="0"/>
        <v>142</v>
      </c>
      <c r="J8" s="15">
        <v>0.7477</v>
      </c>
      <c r="K8" s="21">
        <v>0.589366</v>
      </c>
      <c r="L8" s="19">
        <v>184800</v>
      </c>
      <c r="M8" s="1">
        <f t="shared" si="1"/>
        <v>108914.8368</v>
      </c>
    </row>
    <row r="9" spans="1:13">
      <c r="A9" s="13">
        <v>7</v>
      </c>
      <c r="B9" s="13">
        <v>359</v>
      </c>
      <c r="C9" s="14" t="s">
        <v>12</v>
      </c>
      <c r="D9" s="14"/>
      <c r="E9" s="14" t="s">
        <v>21</v>
      </c>
      <c r="F9" s="15">
        <v>0.7894</v>
      </c>
      <c r="G9" s="16">
        <f>VLOOKUP(B:B,[2]查询门店会员消费占比!$B$1:$F$65536,5,0)</f>
        <v>4980</v>
      </c>
      <c r="H9" s="16">
        <f>G9*0.06</f>
        <v>298.8</v>
      </c>
      <c r="I9" s="20">
        <f t="shared" si="0"/>
        <v>270</v>
      </c>
      <c r="J9" s="15">
        <v>0.7894</v>
      </c>
      <c r="K9" s="22">
        <v>0.815272</v>
      </c>
      <c r="L9" s="19">
        <v>257040</v>
      </c>
      <c r="M9" s="1">
        <f t="shared" si="1"/>
        <v>209557.51488</v>
      </c>
    </row>
    <row r="10" spans="1:13">
      <c r="A10" s="13">
        <v>8</v>
      </c>
      <c r="B10" s="13">
        <v>572</v>
      </c>
      <c r="C10" s="14" t="s">
        <v>22</v>
      </c>
      <c r="D10" s="14"/>
      <c r="E10" s="14" t="s">
        <v>23</v>
      </c>
      <c r="F10" s="15">
        <v>0.733</v>
      </c>
      <c r="G10" s="16">
        <f>VLOOKUP(B:B,[2]查询门店会员消费占比!$B$1:$F$65536,5,0)</f>
        <v>2760</v>
      </c>
      <c r="H10" s="16">
        <f>G10*0.06</f>
        <v>165.6</v>
      </c>
      <c r="I10" s="20">
        <f t="shared" si="0"/>
        <v>150</v>
      </c>
      <c r="J10" s="15">
        <v>0.733</v>
      </c>
      <c r="K10" s="22">
        <v>0.770226</v>
      </c>
      <c r="L10" s="19">
        <v>184800</v>
      </c>
      <c r="M10" s="1">
        <f t="shared" si="1"/>
        <v>142337.7648</v>
      </c>
    </row>
    <row r="11" spans="1:13">
      <c r="A11" s="13">
        <v>9</v>
      </c>
      <c r="B11" s="13">
        <v>743</v>
      </c>
      <c r="C11" s="14" t="s">
        <v>15</v>
      </c>
      <c r="D11" s="14"/>
      <c r="E11" s="14" t="s">
        <v>24</v>
      </c>
      <c r="F11" s="15">
        <v>0.6703</v>
      </c>
      <c r="G11" s="16">
        <f>VLOOKUP(B:B,[2]查询门店会员消费占比!$B$1:$F$65536,5,0)</f>
        <v>3003</v>
      </c>
      <c r="H11" s="16">
        <f>G11*0.08</f>
        <v>240.24</v>
      </c>
      <c r="I11" s="20">
        <f t="shared" si="0"/>
        <v>217</v>
      </c>
      <c r="J11" s="15">
        <v>0.6703</v>
      </c>
      <c r="K11" s="21">
        <v>0.711246</v>
      </c>
      <c r="L11" s="19">
        <v>128800</v>
      </c>
      <c r="M11" s="1">
        <f t="shared" si="1"/>
        <v>91608.4848</v>
      </c>
    </row>
    <row r="12" spans="1:13">
      <c r="A12" s="13">
        <v>10</v>
      </c>
      <c r="B12" s="13">
        <v>744</v>
      </c>
      <c r="C12" s="14" t="s">
        <v>22</v>
      </c>
      <c r="D12" s="14"/>
      <c r="E12" s="14" t="s">
        <v>25</v>
      </c>
      <c r="F12" s="15">
        <v>0.7496</v>
      </c>
      <c r="G12" s="16">
        <f>VLOOKUP(B:B,[2]查询门店会员消费占比!$B$1:$F$65536,5,0)</f>
        <v>4689</v>
      </c>
      <c r="H12" s="16">
        <f>G12*0.06</f>
        <v>281.34</v>
      </c>
      <c r="I12" s="20">
        <f t="shared" si="0"/>
        <v>254</v>
      </c>
      <c r="J12" s="15">
        <v>0.7496</v>
      </c>
      <c r="K12" s="21">
        <v>0.751128</v>
      </c>
      <c r="L12" s="19">
        <v>215600</v>
      </c>
      <c r="M12" s="1">
        <f t="shared" si="1"/>
        <v>161943.1968</v>
      </c>
    </row>
    <row r="13" spans="1:13">
      <c r="A13" s="13">
        <v>11</v>
      </c>
      <c r="B13" s="13">
        <v>391</v>
      </c>
      <c r="C13" s="14" t="s">
        <v>22</v>
      </c>
      <c r="D13" s="14"/>
      <c r="E13" s="14" t="s">
        <v>26</v>
      </c>
      <c r="F13" s="15">
        <v>0.6639</v>
      </c>
      <c r="G13" s="16">
        <f>VLOOKUP(B:B,[2]查询门店会员消费占比!$B$1:$F$65536,5,0)</f>
        <v>3528</v>
      </c>
      <c r="H13" s="16">
        <f>G13*0.08</f>
        <v>282.24</v>
      </c>
      <c r="I13" s="20">
        <f t="shared" si="0"/>
        <v>255</v>
      </c>
      <c r="J13" s="15">
        <v>0.6639</v>
      </c>
      <c r="K13" s="21">
        <v>0.657594</v>
      </c>
      <c r="L13" s="19">
        <v>226800</v>
      </c>
      <c r="M13" s="1">
        <f t="shared" si="1"/>
        <v>149142.3192</v>
      </c>
    </row>
    <row r="14" spans="1:13">
      <c r="A14" s="13">
        <v>12</v>
      </c>
      <c r="B14" s="13">
        <v>54</v>
      </c>
      <c r="C14" s="14" t="s">
        <v>17</v>
      </c>
      <c r="D14" s="14"/>
      <c r="E14" s="14" t="s">
        <v>27</v>
      </c>
      <c r="F14" s="15">
        <v>0.8428</v>
      </c>
      <c r="G14" s="16">
        <f>VLOOKUP(B:B,[2]查询门店会员消费占比!$B$1:$F$65536,5,0)</f>
        <v>3296</v>
      </c>
      <c r="H14" s="16">
        <f>G14*0.04</f>
        <v>131.84</v>
      </c>
      <c r="I14" s="20">
        <f t="shared" si="0"/>
        <v>119</v>
      </c>
      <c r="J14" s="15">
        <v>0.8428</v>
      </c>
      <c r="K14" s="22">
        <v>0.848198</v>
      </c>
      <c r="L14" s="19">
        <v>221760</v>
      </c>
      <c r="M14" s="1">
        <f t="shared" si="1"/>
        <v>188096.38848</v>
      </c>
    </row>
    <row r="15" spans="1:13">
      <c r="A15" s="13">
        <v>13</v>
      </c>
      <c r="B15" s="13">
        <v>582</v>
      </c>
      <c r="C15" s="14" t="s">
        <v>12</v>
      </c>
      <c r="D15" s="14"/>
      <c r="E15" s="14" t="s">
        <v>28</v>
      </c>
      <c r="F15" s="15">
        <v>0.4369</v>
      </c>
      <c r="G15" s="16">
        <f>VLOOKUP(B:B,[2]查询门店会员消费占比!$B$1:$F$65536,5,0)</f>
        <v>8471</v>
      </c>
      <c r="H15" s="17">
        <f>G15*0.12</f>
        <v>1016.52</v>
      </c>
      <c r="I15" s="23">
        <f>ROUND(H15/31*28,0)/2</f>
        <v>459</v>
      </c>
      <c r="J15" s="15">
        <v>0.4369</v>
      </c>
      <c r="K15" s="21">
        <v>0.503048</v>
      </c>
      <c r="L15" s="19">
        <v>911400</v>
      </c>
      <c r="M15" s="1">
        <f t="shared" si="1"/>
        <v>458477.9472</v>
      </c>
    </row>
    <row r="16" spans="1:13">
      <c r="A16" s="13">
        <v>14</v>
      </c>
      <c r="B16" s="13">
        <v>387</v>
      </c>
      <c r="C16" s="14" t="s">
        <v>15</v>
      </c>
      <c r="D16" s="14"/>
      <c r="E16" s="14" t="s">
        <v>29</v>
      </c>
      <c r="F16" s="15">
        <v>0.785</v>
      </c>
      <c r="G16" s="16">
        <f>VLOOKUP(B:B,[2]查询门店会员消费占比!$B$1:$F$65536,5,0)</f>
        <v>5380</v>
      </c>
      <c r="H16" s="16">
        <f>G16*0.06</f>
        <v>322.8</v>
      </c>
      <c r="I16" s="20">
        <f t="shared" si="0"/>
        <v>292</v>
      </c>
      <c r="J16" s="15">
        <v>0.785</v>
      </c>
      <c r="K16" s="22">
        <v>0.778306</v>
      </c>
      <c r="L16" s="19">
        <v>317520</v>
      </c>
      <c r="M16" s="1">
        <f t="shared" si="1"/>
        <v>247127.72112</v>
      </c>
    </row>
    <row r="17" spans="1:13">
      <c r="A17" s="13">
        <v>15</v>
      </c>
      <c r="B17" s="13">
        <v>717</v>
      </c>
      <c r="C17" s="14" t="s">
        <v>30</v>
      </c>
      <c r="D17" s="14"/>
      <c r="E17" s="14" t="s">
        <v>31</v>
      </c>
      <c r="F17" s="15">
        <v>0.7723</v>
      </c>
      <c r="G17" s="16">
        <f>VLOOKUP(B:B,[2]查询门店会员消费占比!$B$1:$F$65536,5,0)</f>
        <v>2446</v>
      </c>
      <c r="H17" s="16">
        <f>G17*0.06</f>
        <v>146.76</v>
      </c>
      <c r="I17" s="20">
        <f t="shared" si="0"/>
        <v>133</v>
      </c>
      <c r="J17" s="15">
        <v>0.7723</v>
      </c>
      <c r="K17" s="22">
        <v>0.793759</v>
      </c>
      <c r="L17" s="19">
        <v>122360</v>
      </c>
      <c r="M17" s="1">
        <f t="shared" si="1"/>
        <v>97124.35124</v>
      </c>
    </row>
    <row r="18" spans="1:13">
      <c r="A18" s="13">
        <v>16</v>
      </c>
      <c r="B18" s="13">
        <v>349</v>
      </c>
      <c r="C18" s="14" t="s">
        <v>22</v>
      </c>
      <c r="D18" s="14"/>
      <c r="E18" s="14" t="s">
        <v>32</v>
      </c>
      <c r="F18" s="15">
        <v>0.6341</v>
      </c>
      <c r="G18" s="16">
        <f>VLOOKUP(B:B,[2]查询门店会员消费占比!$B$1:$F$65536,5,0)</f>
        <v>3247</v>
      </c>
      <c r="H18" s="16">
        <f>G18*0.08</f>
        <v>259.76</v>
      </c>
      <c r="I18" s="20">
        <f t="shared" si="0"/>
        <v>235</v>
      </c>
      <c r="J18" s="15">
        <v>0.6341</v>
      </c>
      <c r="K18" s="21">
        <v>0.584937</v>
      </c>
      <c r="L18" s="19">
        <v>190960</v>
      </c>
      <c r="M18" s="1">
        <f t="shared" si="1"/>
        <v>111699.56952</v>
      </c>
    </row>
    <row r="19" spans="1:13">
      <c r="A19" s="13">
        <v>17</v>
      </c>
      <c r="B19" s="13">
        <v>710</v>
      </c>
      <c r="C19" s="14" t="s">
        <v>17</v>
      </c>
      <c r="D19" s="14"/>
      <c r="E19" s="14" t="s">
        <v>33</v>
      </c>
      <c r="F19" s="15">
        <v>0.7177</v>
      </c>
      <c r="G19" s="16">
        <f>VLOOKUP(B:B,[2]查询门店会员消费占比!$B$1:$F$65536,5,0)</f>
        <v>1772</v>
      </c>
      <c r="H19" s="16">
        <f>G19*0.06</f>
        <v>106.32</v>
      </c>
      <c r="I19" s="20">
        <f t="shared" si="0"/>
        <v>96</v>
      </c>
      <c r="J19" s="15">
        <v>0.7177</v>
      </c>
      <c r="K19" s="22">
        <v>0.835472</v>
      </c>
      <c r="L19" s="19">
        <v>99820</v>
      </c>
      <c r="M19" s="1">
        <f t="shared" si="1"/>
        <v>83396.81504</v>
      </c>
    </row>
    <row r="20" spans="1:13">
      <c r="A20" s="13">
        <v>18</v>
      </c>
      <c r="B20" s="13">
        <v>747</v>
      </c>
      <c r="C20" s="14" t="s">
        <v>22</v>
      </c>
      <c r="D20" s="14"/>
      <c r="E20" s="14" t="s">
        <v>34</v>
      </c>
      <c r="F20" s="15">
        <v>0.8092</v>
      </c>
      <c r="G20" s="16">
        <f>VLOOKUP(B:B,[2]查询门店会员消费占比!$B$1:$F$65536,5,0)</f>
        <v>2692</v>
      </c>
      <c r="H20" s="16">
        <f>G20*0.04</f>
        <v>107.68</v>
      </c>
      <c r="I20" s="20">
        <f t="shared" si="0"/>
        <v>97</v>
      </c>
      <c r="J20" s="15">
        <v>0.8092</v>
      </c>
      <c r="K20" s="22">
        <v>0.789416</v>
      </c>
      <c r="L20" s="19">
        <v>209440</v>
      </c>
      <c r="M20" s="1">
        <f t="shared" si="1"/>
        <v>165335.28704</v>
      </c>
    </row>
    <row r="21" spans="1:13">
      <c r="A21" s="13">
        <v>19</v>
      </c>
      <c r="B21" s="13">
        <v>748</v>
      </c>
      <c r="C21" s="14" t="s">
        <v>30</v>
      </c>
      <c r="D21" s="14"/>
      <c r="E21" s="14" t="s">
        <v>35</v>
      </c>
      <c r="F21" s="15">
        <v>0.7996</v>
      </c>
      <c r="G21" s="16">
        <f>VLOOKUP(B:B,[2]查询门店会员消费占比!$B$1:$F$65536,5,0)</f>
        <v>2240</v>
      </c>
      <c r="H21" s="16">
        <f>G21*0.06</f>
        <v>134.4</v>
      </c>
      <c r="I21" s="20">
        <f t="shared" si="0"/>
        <v>121</v>
      </c>
      <c r="J21" s="15">
        <v>0.7996</v>
      </c>
      <c r="K21" s="22">
        <v>0.759116</v>
      </c>
      <c r="L21" s="19">
        <v>129360</v>
      </c>
      <c r="M21" s="1">
        <f t="shared" si="1"/>
        <v>98199.24576</v>
      </c>
    </row>
    <row r="22" spans="1:13">
      <c r="A22" s="13">
        <v>20</v>
      </c>
      <c r="B22" s="13">
        <v>723</v>
      </c>
      <c r="C22" s="14" t="s">
        <v>22</v>
      </c>
      <c r="D22" s="14"/>
      <c r="E22" s="14" t="s">
        <v>36</v>
      </c>
      <c r="F22" s="15">
        <v>0.806</v>
      </c>
      <c r="G22" s="16">
        <f>VLOOKUP(B:B,[2]查询门店会员消费占比!$B$1:$F$65536,5,0)</f>
        <v>2427</v>
      </c>
      <c r="H22" s="16">
        <f>G22*0.04</f>
        <v>97.08</v>
      </c>
      <c r="I22" s="20">
        <f t="shared" si="0"/>
        <v>88</v>
      </c>
      <c r="J22" s="15">
        <v>0.806</v>
      </c>
      <c r="K22" s="22">
        <v>0.816585</v>
      </c>
      <c r="L22" s="19">
        <v>115920</v>
      </c>
      <c r="M22" s="1">
        <f t="shared" si="1"/>
        <v>94658.5332</v>
      </c>
    </row>
    <row r="23" spans="1:13">
      <c r="A23" s="13">
        <v>21</v>
      </c>
      <c r="B23" s="13">
        <v>750</v>
      </c>
      <c r="C23" s="14" t="s">
        <v>15</v>
      </c>
      <c r="D23" s="14"/>
      <c r="E23" s="14" t="s">
        <v>37</v>
      </c>
      <c r="F23" s="15">
        <v>0.656</v>
      </c>
      <c r="G23" s="16">
        <f>VLOOKUP(B:B,[2]查询门店会员消费占比!$B$1:$F$65536,5,0)</f>
        <v>10144</v>
      </c>
      <c r="H23" s="16">
        <f>G23*0.08</f>
        <v>811.52</v>
      </c>
      <c r="I23" s="20">
        <f t="shared" si="0"/>
        <v>733</v>
      </c>
      <c r="J23" s="15">
        <v>0.656</v>
      </c>
      <c r="K23" s="21">
        <v>0.69819</v>
      </c>
      <c r="L23" s="19">
        <v>646800</v>
      </c>
      <c r="M23" s="1">
        <f t="shared" si="1"/>
        <v>451589.292</v>
      </c>
    </row>
    <row r="24" spans="1:13">
      <c r="A24" s="13">
        <v>22</v>
      </c>
      <c r="B24" s="13">
        <v>545</v>
      </c>
      <c r="C24" s="14" t="s">
        <v>15</v>
      </c>
      <c r="D24" s="14"/>
      <c r="E24" s="14" t="s">
        <v>38</v>
      </c>
      <c r="F24" s="15">
        <v>0.7484</v>
      </c>
      <c r="G24" s="16">
        <f>VLOOKUP(B:B,[2]查询门店会员消费占比!$B$1:$F$65536,5,0)</f>
        <v>1755</v>
      </c>
      <c r="H24" s="16">
        <f>G24*0.06</f>
        <v>105.3</v>
      </c>
      <c r="I24" s="20">
        <f t="shared" si="0"/>
        <v>95</v>
      </c>
      <c r="J24" s="15">
        <v>0.7484</v>
      </c>
      <c r="K24" s="22">
        <v>0.794466</v>
      </c>
      <c r="L24" s="19">
        <v>96600</v>
      </c>
      <c r="M24" s="1">
        <f t="shared" si="1"/>
        <v>76745.4156</v>
      </c>
    </row>
    <row r="25" spans="1:13">
      <c r="A25" s="13">
        <v>23</v>
      </c>
      <c r="B25" s="13">
        <v>741</v>
      </c>
      <c r="C25" s="14" t="s">
        <v>12</v>
      </c>
      <c r="D25" s="14"/>
      <c r="E25" s="14" t="s">
        <v>39</v>
      </c>
      <c r="F25" s="15">
        <v>0.7918</v>
      </c>
      <c r="G25" s="16">
        <f>VLOOKUP(B:B,[2]查询门店会员消费占比!$B$1:$F$65536,5,0)</f>
        <v>1375</v>
      </c>
      <c r="H25" s="16">
        <f>G25*0.06</f>
        <v>82.5</v>
      </c>
      <c r="I25" s="20">
        <f t="shared" si="0"/>
        <v>75</v>
      </c>
      <c r="J25" s="15">
        <v>0.7918</v>
      </c>
      <c r="K25" s="22">
        <v>0.804768</v>
      </c>
      <c r="L25" s="19">
        <v>84000</v>
      </c>
      <c r="M25" s="1">
        <f t="shared" si="1"/>
        <v>67600.512</v>
      </c>
    </row>
    <row r="26" spans="1:13">
      <c r="A26" s="13">
        <v>24</v>
      </c>
      <c r="B26" s="13">
        <v>732</v>
      </c>
      <c r="C26" s="14" t="s">
        <v>30</v>
      </c>
      <c r="D26" s="14"/>
      <c r="E26" s="14" t="s">
        <v>40</v>
      </c>
      <c r="F26" s="15">
        <v>0.7285</v>
      </c>
      <c r="G26" s="16">
        <f>VLOOKUP(B:B,[2]查询门店会员消费占比!$B$1:$F$65536,5,0)</f>
        <v>1380</v>
      </c>
      <c r="H26" s="16">
        <f>G26*0.06</f>
        <v>82.8</v>
      </c>
      <c r="I26" s="20">
        <f t="shared" si="0"/>
        <v>75</v>
      </c>
      <c r="J26" s="15">
        <v>0.7285</v>
      </c>
      <c r="K26" s="21">
        <v>0.663714</v>
      </c>
      <c r="L26" s="19">
        <v>122360</v>
      </c>
      <c r="M26" s="1">
        <f t="shared" si="1"/>
        <v>81212.04504</v>
      </c>
    </row>
    <row r="27" spans="1:13">
      <c r="A27" s="13">
        <v>25</v>
      </c>
      <c r="B27" s="13">
        <v>709</v>
      </c>
      <c r="C27" s="14" t="s">
        <v>12</v>
      </c>
      <c r="D27" s="14"/>
      <c r="E27" s="14" t="s">
        <v>41</v>
      </c>
      <c r="F27" s="15">
        <v>0.7715</v>
      </c>
      <c r="G27" s="16">
        <f>VLOOKUP(B:B,[2]查询门店会员消费占比!$B$1:$F$65536,5,0)</f>
        <v>4239</v>
      </c>
      <c r="H27" s="16">
        <f>G27*0.06</f>
        <v>254.34</v>
      </c>
      <c r="I27" s="20">
        <f t="shared" si="0"/>
        <v>230</v>
      </c>
      <c r="J27" s="15">
        <v>0.7715</v>
      </c>
      <c r="K27" s="22">
        <v>0.789517</v>
      </c>
      <c r="L27" s="19">
        <v>241920</v>
      </c>
      <c r="M27" s="1">
        <f t="shared" si="1"/>
        <v>190999.95264</v>
      </c>
    </row>
    <row r="28" spans="1:13">
      <c r="A28" s="13">
        <v>26</v>
      </c>
      <c r="B28" s="13">
        <v>514</v>
      </c>
      <c r="C28" s="14" t="s">
        <v>30</v>
      </c>
      <c r="D28" s="14"/>
      <c r="E28" s="14" t="s">
        <v>42</v>
      </c>
      <c r="F28" s="15">
        <v>0.906</v>
      </c>
      <c r="G28" s="16">
        <f>VLOOKUP(B:B,[2]查询门店会员消费占比!$B$1:$F$65536,5,0)</f>
        <v>4091</v>
      </c>
      <c r="H28" s="16">
        <f>G28*0.04</f>
        <v>163.64</v>
      </c>
      <c r="I28" s="20">
        <f t="shared" si="0"/>
        <v>148</v>
      </c>
      <c r="J28" s="15">
        <v>0.906</v>
      </c>
      <c r="K28" s="21">
        <v>0.9118</v>
      </c>
      <c r="L28" s="19">
        <v>241920</v>
      </c>
      <c r="M28" s="1">
        <f t="shared" si="1"/>
        <v>220582.656</v>
      </c>
    </row>
    <row r="29" spans="1:13">
      <c r="A29" s="13">
        <v>27</v>
      </c>
      <c r="B29" s="13">
        <v>726</v>
      </c>
      <c r="C29" s="14" t="s">
        <v>12</v>
      </c>
      <c r="D29" s="14"/>
      <c r="E29" s="14" t="s">
        <v>43</v>
      </c>
      <c r="F29" s="15">
        <v>0.7286</v>
      </c>
      <c r="G29" s="16">
        <f>VLOOKUP(B:B,[2]查询门店会员消费占比!$B$1:$F$65536,5,0)</f>
        <v>3745</v>
      </c>
      <c r="H29" s="16">
        <f>G29*0.06</f>
        <v>224.7</v>
      </c>
      <c r="I29" s="20">
        <f t="shared" si="0"/>
        <v>203</v>
      </c>
      <c r="J29" s="15">
        <v>0.7286</v>
      </c>
      <c r="K29" s="22">
        <v>0.832745</v>
      </c>
      <c r="L29" s="19">
        <v>263088</v>
      </c>
      <c r="M29" s="1">
        <f t="shared" si="1"/>
        <v>219085.21656</v>
      </c>
    </row>
    <row r="30" spans="1:13">
      <c r="A30" s="13">
        <v>28</v>
      </c>
      <c r="B30" s="13">
        <v>570</v>
      </c>
      <c r="C30" s="14" t="s">
        <v>12</v>
      </c>
      <c r="D30" s="14"/>
      <c r="E30" s="14" t="s">
        <v>44</v>
      </c>
      <c r="F30" s="15">
        <v>0.785</v>
      </c>
      <c r="G30" s="16">
        <f>VLOOKUP(B:B,[2]查询门店会员消费占比!$B$1:$F$65536,5,0)</f>
        <v>2833</v>
      </c>
      <c r="H30" s="16">
        <f>G30*0.06</f>
        <v>169.98</v>
      </c>
      <c r="I30" s="20">
        <f t="shared" si="0"/>
        <v>154</v>
      </c>
      <c r="J30" s="15">
        <v>0.785</v>
      </c>
      <c r="K30" s="22">
        <v>0.81305</v>
      </c>
      <c r="L30" s="19">
        <v>132020</v>
      </c>
      <c r="M30" s="1">
        <f t="shared" si="1"/>
        <v>107338.861</v>
      </c>
    </row>
    <row r="31" spans="1:13">
      <c r="A31" s="13">
        <v>29</v>
      </c>
      <c r="B31" s="13">
        <v>598</v>
      </c>
      <c r="C31" s="14" t="s">
        <v>15</v>
      </c>
      <c r="D31" s="14"/>
      <c r="E31" s="14" t="s">
        <v>45</v>
      </c>
      <c r="F31" s="15">
        <v>0.7251</v>
      </c>
      <c r="G31" s="16">
        <f>VLOOKUP(B:B,[2]查询门店会员消费占比!$B$1:$F$65536,5,0)</f>
        <v>3461</v>
      </c>
      <c r="H31" s="16">
        <f>G31*0.06</f>
        <v>207.66</v>
      </c>
      <c r="I31" s="20">
        <f t="shared" si="0"/>
        <v>188</v>
      </c>
      <c r="J31" s="15">
        <v>0.7251</v>
      </c>
      <c r="K31" s="21">
        <v>0.728484</v>
      </c>
      <c r="L31" s="19">
        <v>215600</v>
      </c>
      <c r="M31" s="1">
        <f t="shared" si="1"/>
        <v>157061.1504</v>
      </c>
    </row>
    <row r="32" spans="1:13">
      <c r="A32" s="13">
        <v>30</v>
      </c>
      <c r="B32" s="13">
        <v>724</v>
      </c>
      <c r="C32" s="14" t="s">
        <v>15</v>
      </c>
      <c r="D32" s="14"/>
      <c r="E32" s="14" t="s">
        <v>46</v>
      </c>
      <c r="F32" s="15">
        <v>0.8245</v>
      </c>
      <c r="G32" s="16">
        <f>VLOOKUP(B:B,[2]查询门店会员消费占比!$B$1:$F$65536,5,0)</f>
        <v>5162</v>
      </c>
      <c r="H32" s="16">
        <f>G32*0.04</f>
        <v>206.48</v>
      </c>
      <c r="I32" s="20">
        <f t="shared" si="0"/>
        <v>186</v>
      </c>
      <c r="J32" s="15">
        <v>0.8245</v>
      </c>
      <c r="K32" s="22">
        <v>0.826988</v>
      </c>
      <c r="L32" s="19">
        <v>272160</v>
      </c>
      <c r="M32" s="1">
        <f t="shared" si="1"/>
        <v>225073.05408</v>
      </c>
    </row>
    <row r="33" spans="1:13">
      <c r="A33" s="13">
        <v>31</v>
      </c>
      <c r="B33" s="13">
        <v>546</v>
      </c>
      <c r="C33" s="14" t="s">
        <v>15</v>
      </c>
      <c r="D33" s="14"/>
      <c r="E33" s="14" t="s">
        <v>47</v>
      </c>
      <c r="F33" s="15">
        <v>0.7946</v>
      </c>
      <c r="G33" s="16">
        <f>VLOOKUP(B:B,[2]查询门店会员消费占比!$B$1:$F$65536,5,0)</f>
        <v>4999</v>
      </c>
      <c r="H33" s="16">
        <f>G33*0.06</f>
        <v>299.94</v>
      </c>
      <c r="I33" s="20">
        <f t="shared" si="0"/>
        <v>271</v>
      </c>
      <c r="J33" s="15">
        <v>0.7946</v>
      </c>
      <c r="K33" s="22">
        <v>0.810424</v>
      </c>
      <c r="L33" s="19">
        <v>288792</v>
      </c>
      <c r="M33" s="1">
        <f t="shared" si="1"/>
        <v>234043.967808</v>
      </c>
    </row>
    <row r="34" spans="1:13">
      <c r="A34" s="13">
        <v>32</v>
      </c>
      <c r="B34" s="13">
        <v>584</v>
      </c>
      <c r="C34" s="14" t="s">
        <v>15</v>
      </c>
      <c r="D34" s="14"/>
      <c r="E34" s="14" t="s">
        <v>48</v>
      </c>
      <c r="F34" s="15">
        <v>0.7136</v>
      </c>
      <c r="G34" s="16">
        <f>VLOOKUP(B:B,[2]查询门店会员消费占比!$B$1:$F$65536,5,0)</f>
        <v>2815</v>
      </c>
      <c r="H34" s="16">
        <f>G34*0.06</f>
        <v>168.9</v>
      </c>
      <c r="I34" s="20">
        <f t="shared" si="0"/>
        <v>153</v>
      </c>
      <c r="J34" s="15">
        <v>0.7136</v>
      </c>
      <c r="K34" s="21">
        <v>0.722058</v>
      </c>
      <c r="L34" s="19">
        <v>161000</v>
      </c>
      <c r="M34" s="1">
        <f t="shared" si="1"/>
        <v>116251.338</v>
      </c>
    </row>
    <row r="35" spans="1:13">
      <c r="A35" s="13">
        <v>33</v>
      </c>
      <c r="B35" s="13">
        <v>341</v>
      </c>
      <c r="C35" s="14" t="s">
        <v>30</v>
      </c>
      <c r="D35" s="14"/>
      <c r="E35" s="14" t="s">
        <v>49</v>
      </c>
      <c r="F35" s="15">
        <v>0.7023</v>
      </c>
      <c r="G35" s="16">
        <f>VLOOKUP(B:B,[2]查询门店会员消费占比!$B$1:$F$65536,5,0)</f>
        <v>6863</v>
      </c>
      <c r="H35" s="16">
        <f>G35*0.06</f>
        <v>411.78</v>
      </c>
      <c r="I35" s="20">
        <f t="shared" si="0"/>
        <v>372</v>
      </c>
      <c r="J35" s="15">
        <v>0.7023</v>
      </c>
      <c r="K35" s="21">
        <v>0.684522</v>
      </c>
      <c r="L35" s="19">
        <v>588000</v>
      </c>
      <c r="M35" s="1">
        <f t="shared" si="1"/>
        <v>402498.936</v>
      </c>
    </row>
    <row r="36" spans="1:13">
      <c r="A36" s="13">
        <v>34</v>
      </c>
      <c r="B36" s="13">
        <v>742</v>
      </c>
      <c r="C36" s="14" t="s">
        <v>22</v>
      </c>
      <c r="D36" s="14"/>
      <c r="E36" s="14" t="s">
        <v>50</v>
      </c>
      <c r="F36" s="15">
        <v>0.5628</v>
      </c>
      <c r="G36" s="16">
        <f>VLOOKUP(B:B,[2]查询门店会员消费占比!$B$1:$F$65536,5,0)</f>
        <v>2662</v>
      </c>
      <c r="H36" s="16">
        <f>G36*0.1</f>
        <v>266.2</v>
      </c>
      <c r="I36" s="20">
        <f t="shared" ref="I36:I67" si="2">ROUND(H36/31*28,0)</f>
        <v>240</v>
      </c>
      <c r="J36" s="15">
        <v>0.5628</v>
      </c>
      <c r="K36" s="21">
        <v>0.589881</v>
      </c>
      <c r="L36" s="19">
        <v>254016</v>
      </c>
      <c r="M36" s="1">
        <f t="shared" ref="M36:M67" si="3">L36*K36</f>
        <v>149839.212096</v>
      </c>
    </row>
    <row r="37" spans="1:13">
      <c r="A37" s="13">
        <v>35</v>
      </c>
      <c r="B37" s="13">
        <v>712</v>
      </c>
      <c r="C37" s="14" t="s">
        <v>15</v>
      </c>
      <c r="D37" s="14"/>
      <c r="E37" s="14" t="s">
        <v>51</v>
      </c>
      <c r="F37" s="15">
        <v>0.6942</v>
      </c>
      <c r="G37" s="16">
        <f>VLOOKUP(B:B,[2]查询门店会员消费占比!$B$1:$F$65536,5,0)</f>
        <v>5932</v>
      </c>
      <c r="H37" s="16">
        <f>G37*0.08</f>
        <v>474.56</v>
      </c>
      <c r="I37" s="20">
        <f t="shared" si="2"/>
        <v>429</v>
      </c>
      <c r="J37" s="15">
        <v>0.6942</v>
      </c>
      <c r="K37" s="21">
        <v>0.702882</v>
      </c>
      <c r="L37" s="19">
        <v>367500</v>
      </c>
      <c r="M37" s="1">
        <f t="shared" si="3"/>
        <v>258309.135</v>
      </c>
    </row>
    <row r="38" spans="1:13">
      <c r="A38" s="13">
        <v>36</v>
      </c>
      <c r="B38" s="13">
        <v>513</v>
      </c>
      <c r="C38" s="14" t="s">
        <v>12</v>
      </c>
      <c r="D38" s="14"/>
      <c r="E38" s="14" t="s">
        <v>52</v>
      </c>
      <c r="F38" s="15">
        <v>0.8366</v>
      </c>
      <c r="G38" s="16">
        <f>VLOOKUP(B:B,[2]查询门店会员消费占比!$B$1:$F$65536,5,0)</f>
        <v>4202</v>
      </c>
      <c r="H38" s="16">
        <f>G38*0.04</f>
        <v>168.08</v>
      </c>
      <c r="I38" s="20">
        <f t="shared" si="2"/>
        <v>152</v>
      </c>
      <c r="J38" s="15">
        <v>0.8366</v>
      </c>
      <c r="K38" s="22">
        <v>0.838704</v>
      </c>
      <c r="L38" s="19">
        <v>241920</v>
      </c>
      <c r="M38" s="1">
        <f t="shared" si="3"/>
        <v>202899.27168</v>
      </c>
    </row>
    <row r="39" spans="1:13">
      <c r="A39" s="13">
        <v>37</v>
      </c>
      <c r="B39" s="13">
        <v>746</v>
      </c>
      <c r="C39" s="14" t="s">
        <v>30</v>
      </c>
      <c r="D39" s="14"/>
      <c r="E39" s="14" t="s">
        <v>53</v>
      </c>
      <c r="F39" s="15">
        <v>0.7746</v>
      </c>
      <c r="G39" s="16">
        <f>VLOOKUP(B:B,[2]查询门店会员消费占比!$B$1:$F$65536,5,0)</f>
        <v>3863</v>
      </c>
      <c r="H39" s="16">
        <f>G39*0.06</f>
        <v>231.78</v>
      </c>
      <c r="I39" s="20">
        <f t="shared" si="2"/>
        <v>209</v>
      </c>
      <c r="J39" s="15">
        <v>0.7746</v>
      </c>
      <c r="K39" s="22">
        <v>0.795476</v>
      </c>
      <c r="L39" s="19">
        <v>184800</v>
      </c>
      <c r="M39" s="1">
        <f t="shared" si="3"/>
        <v>147003.9648</v>
      </c>
    </row>
    <row r="40" spans="1:13">
      <c r="A40" s="13">
        <v>38</v>
      </c>
      <c r="B40" s="13">
        <v>307</v>
      </c>
      <c r="C40" s="14" t="s">
        <v>54</v>
      </c>
      <c r="D40" s="14"/>
      <c r="E40" s="14" t="s">
        <v>55</v>
      </c>
      <c r="F40" s="15">
        <v>0.5739</v>
      </c>
      <c r="G40" s="16">
        <f>VLOOKUP(B:B,[2]查询门店会员消费占比!$B$1:$F$65536,5,0)</f>
        <v>16321</v>
      </c>
      <c r="H40" s="16">
        <f>G40*0.1</f>
        <v>1632.1</v>
      </c>
      <c r="I40" s="20">
        <f t="shared" si="2"/>
        <v>1474</v>
      </c>
      <c r="J40" s="15">
        <v>0.5739</v>
      </c>
      <c r="K40" s="21">
        <v>0.587924</v>
      </c>
      <c r="L40" s="19">
        <v>1999200</v>
      </c>
      <c r="M40" s="1">
        <f t="shared" si="3"/>
        <v>1175377.6608</v>
      </c>
    </row>
    <row r="41" spans="1:13">
      <c r="A41" s="13">
        <v>39</v>
      </c>
      <c r="B41" s="13">
        <v>721</v>
      </c>
      <c r="C41" s="14" t="s">
        <v>30</v>
      </c>
      <c r="D41" s="14"/>
      <c r="E41" s="14" t="s">
        <v>56</v>
      </c>
      <c r="F41" s="15">
        <v>0.8564</v>
      </c>
      <c r="G41" s="16">
        <f>VLOOKUP(B:B,[2]查询门店会员消费占比!$B$1:$F$65536,5,0)</f>
        <v>2729</v>
      </c>
      <c r="H41" s="16">
        <f>G41*0.04</f>
        <v>109.16</v>
      </c>
      <c r="I41" s="20">
        <f t="shared" si="2"/>
        <v>99</v>
      </c>
      <c r="J41" s="15">
        <v>0.8564</v>
      </c>
      <c r="K41" s="22">
        <v>0.889103</v>
      </c>
      <c r="L41" s="19">
        <v>160160</v>
      </c>
      <c r="M41" s="1">
        <f t="shared" si="3"/>
        <v>142398.73648</v>
      </c>
    </row>
    <row r="42" spans="1:13">
      <c r="A42" s="13">
        <v>40</v>
      </c>
      <c r="B42" s="13">
        <v>371</v>
      </c>
      <c r="C42" s="14" t="s">
        <v>30</v>
      </c>
      <c r="D42" s="14"/>
      <c r="E42" s="14" t="s">
        <v>57</v>
      </c>
      <c r="F42" s="15">
        <v>0.7973</v>
      </c>
      <c r="G42" s="16">
        <f>VLOOKUP(B:B,[2]查询门店会员消费占比!$B$1:$F$65536,5,0)</f>
        <v>1894</v>
      </c>
      <c r="H42" s="16">
        <f>G42*0.06</f>
        <v>113.64</v>
      </c>
      <c r="I42" s="20">
        <f t="shared" si="2"/>
        <v>103</v>
      </c>
      <c r="J42" s="15">
        <v>0.7973</v>
      </c>
      <c r="K42" s="22">
        <v>0.77366</v>
      </c>
      <c r="L42" s="19">
        <v>122360</v>
      </c>
      <c r="M42" s="1">
        <f t="shared" si="3"/>
        <v>94665.0376</v>
      </c>
    </row>
    <row r="43" spans="1:13">
      <c r="A43" s="13">
        <v>41</v>
      </c>
      <c r="B43" s="13">
        <v>343</v>
      </c>
      <c r="C43" s="14" t="s">
        <v>12</v>
      </c>
      <c r="D43" s="14"/>
      <c r="E43" s="14" t="s">
        <v>58</v>
      </c>
      <c r="F43" s="15">
        <v>0.8646</v>
      </c>
      <c r="G43" s="16">
        <f>VLOOKUP(B:B,[2]查询门店会员消费占比!$B$1:$F$65536,5,0)</f>
        <v>5657</v>
      </c>
      <c r="H43" s="16">
        <f>G43*0.04</f>
        <v>226.28</v>
      </c>
      <c r="I43" s="20">
        <f t="shared" si="2"/>
        <v>204</v>
      </c>
      <c r="J43" s="15">
        <v>0.8646</v>
      </c>
      <c r="K43" s="22">
        <v>0.87062</v>
      </c>
      <c r="L43" s="19">
        <v>588000</v>
      </c>
      <c r="M43" s="1">
        <f t="shared" si="3"/>
        <v>511924.56</v>
      </c>
    </row>
    <row r="44" spans="1:13">
      <c r="A44" s="13">
        <v>42</v>
      </c>
      <c r="B44" s="13">
        <v>718</v>
      </c>
      <c r="C44" s="14" t="s">
        <v>22</v>
      </c>
      <c r="D44" s="14"/>
      <c r="E44" s="14" t="s">
        <v>59</v>
      </c>
      <c r="F44" s="15">
        <v>0.7521</v>
      </c>
      <c r="G44" s="16">
        <f>VLOOKUP(B:B,[2]查询门店会员消费占比!$B$1:$F$65536,5,0)</f>
        <v>1516</v>
      </c>
      <c r="H44" s="16">
        <f>G44*0.06</f>
        <v>90.96</v>
      </c>
      <c r="I44" s="20">
        <f t="shared" si="2"/>
        <v>82</v>
      </c>
      <c r="J44" s="15">
        <v>0.7521</v>
      </c>
      <c r="K44" s="21">
        <v>0.762858</v>
      </c>
      <c r="L44" s="19">
        <v>96600</v>
      </c>
      <c r="M44" s="1">
        <f t="shared" si="3"/>
        <v>73692.0828</v>
      </c>
    </row>
    <row r="45" spans="1:13">
      <c r="A45" s="13">
        <v>43</v>
      </c>
      <c r="B45" s="13">
        <v>571</v>
      </c>
      <c r="C45" s="14" t="s">
        <v>15</v>
      </c>
      <c r="D45" s="14"/>
      <c r="E45" s="14" t="s">
        <v>60</v>
      </c>
      <c r="F45" s="15">
        <v>0.8047</v>
      </c>
      <c r="G45" s="16">
        <f>VLOOKUP(B:B,[2]查询门店会员消费占比!$B$1:$F$65536,5,0)</f>
        <v>6273</v>
      </c>
      <c r="H45" s="16">
        <f>G45*0.04</f>
        <v>250.92</v>
      </c>
      <c r="I45" s="20">
        <f t="shared" si="2"/>
        <v>227</v>
      </c>
      <c r="J45" s="15">
        <v>0.8047</v>
      </c>
      <c r="K45" s="22">
        <v>0.812141</v>
      </c>
      <c r="L45" s="19">
        <v>485100</v>
      </c>
      <c r="M45" s="1">
        <f t="shared" si="3"/>
        <v>393969.5991</v>
      </c>
    </row>
    <row r="46" spans="1:13">
      <c r="A46" s="13">
        <v>44</v>
      </c>
      <c r="B46" s="13">
        <v>355</v>
      </c>
      <c r="C46" s="14" t="s">
        <v>22</v>
      </c>
      <c r="D46" s="14"/>
      <c r="E46" s="14" t="s">
        <v>61</v>
      </c>
      <c r="F46" s="15">
        <v>0.617</v>
      </c>
      <c r="G46" s="16">
        <f>VLOOKUP(B:B,[2]查询门店会员消费占比!$B$1:$F$65536,5,0)</f>
        <v>3376</v>
      </c>
      <c r="H46" s="16">
        <f>G46*0.08</f>
        <v>270.08</v>
      </c>
      <c r="I46" s="20">
        <f t="shared" si="2"/>
        <v>244</v>
      </c>
      <c r="J46" s="15">
        <v>0.617</v>
      </c>
      <c r="K46" s="21">
        <v>0.626178</v>
      </c>
      <c r="L46" s="19">
        <v>241920</v>
      </c>
      <c r="M46" s="1">
        <f t="shared" si="3"/>
        <v>151484.98176</v>
      </c>
    </row>
    <row r="47" spans="1:13">
      <c r="A47" s="13">
        <v>45</v>
      </c>
      <c r="B47" s="13">
        <v>515</v>
      </c>
      <c r="C47" s="14" t="s">
        <v>22</v>
      </c>
      <c r="D47" s="14"/>
      <c r="E47" s="14" t="s">
        <v>62</v>
      </c>
      <c r="F47" s="15">
        <v>0.7738</v>
      </c>
      <c r="G47" s="16">
        <f>VLOOKUP(B:B,[2]查询门店会员消费占比!$B$1:$F$65536,5,0)</f>
        <v>3545</v>
      </c>
      <c r="H47" s="16">
        <f>G47*0.06</f>
        <v>212.7</v>
      </c>
      <c r="I47" s="20">
        <f t="shared" si="2"/>
        <v>192</v>
      </c>
      <c r="J47" s="15">
        <v>0.7738</v>
      </c>
      <c r="K47" s="22">
        <v>0.802041</v>
      </c>
      <c r="L47" s="19">
        <v>209440</v>
      </c>
      <c r="M47" s="1">
        <f t="shared" si="3"/>
        <v>167979.46704</v>
      </c>
    </row>
    <row r="48" spans="1:13">
      <c r="A48" s="13">
        <v>46</v>
      </c>
      <c r="B48" s="13">
        <v>56</v>
      </c>
      <c r="C48" s="14" t="s">
        <v>17</v>
      </c>
      <c r="D48" s="14"/>
      <c r="E48" s="14" t="s">
        <v>63</v>
      </c>
      <c r="F48" s="15">
        <v>0.8674</v>
      </c>
      <c r="G48" s="16">
        <f>VLOOKUP(B:B,[2]查询门店会员消费占比!$B$1:$F$65536,5,0)</f>
        <v>1385</v>
      </c>
      <c r="H48" s="16">
        <f>G48*0.04</f>
        <v>55.4</v>
      </c>
      <c r="I48" s="20">
        <f t="shared" si="2"/>
        <v>50</v>
      </c>
      <c r="J48" s="15">
        <v>0.8674</v>
      </c>
      <c r="K48" s="22">
        <v>0.879811</v>
      </c>
      <c r="L48" s="19">
        <v>106260</v>
      </c>
      <c r="M48" s="1">
        <f t="shared" si="3"/>
        <v>93488.71686</v>
      </c>
    </row>
    <row r="49" spans="1:13">
      <c r="A49" s="13">
        <v>47</v>
      </c>
      <c r="B49" s="13">
        <v>730</v>
      </c>
      <c r="C49" s="14" t="s">
        <v>12</v>
      </c>
      <c r="D49" s="14"/>
      <c r="E49" s="14" t="s">
        <v>64</v>
      </c>
      <c r="F49" s="15">
        <v>0.6236</v>
      </c>
      <c r="G49" s="16">
        <f>VLOOKUP(B:B,[2]查询门店会员消费占比!$B$1:$F$65536,5,0)</f>
        <v>5598</v>
      </c>
      <c r="H49" s="16">
        <f>G49*0.08</f>
        <v>447.84</v>
      </c>
      <c r="I49" s="20">
        <f t="shared" si="2"/>
        <v>405</v>
      </c>
      <c r="J49" s="15">
        <v>0.6236</v>
      </c>
      <c r="K49" s="21">
        <v>0.665958</v>
      </c>
      <c r="L49" s="19">
        <v>287280</v>
      </c>
      <c r="M49" s="1">
        <f t="shared" si="3"/>
        <v>191316.41424</v>
      </c>
    </row>
    <row r="50" spans="1:13">
      <c r="A50" s="13">
        <v>48</v>
      </c>
      <c r="B50" s="13">
        <v>377</v>
      </c>
      <c r="C50" s="14" t="s">
        <v>15</v>
      </c>
      <c r="D50" s="14"/>
      <c r="E50" s="14" t="s">
        <v>65</v>
      </c>
      <c r="F50" s="15">
        <v>0.7836</v>
      </c>
      <c r="G50" s="16">
        <f>VLOOKUP(B:B,[2]查询门店会员消费占比!$B$1:$F$65536,5,0)</f>
        <v>4756</v>
      </c>
      <c r="H50" s="16">
        <f>G50*0.06</f>
        <v>285.36</v>
      </c>
      <c r="I50" s="20">
        <f t="shared" si="2"/>
        <v>258</v>
      </c>
      <c r="J50" s="15">
        <v>0.7836</v>
      </c>
      <c r="K50" s="22">
        <v>0.815777</v>
      </c>
      <c r="L50" s="19">
        <v>231000</v>
      </c>
      <c r="M50" s="1">
        <f t="shared" si="3"/>
        <v>188444.487</v>
      </c>
    </row>
    <row r="51" spans="1:13">
      <c r="A51" s="13">
        <v>49</v>
      </c>
      <c r="B51" s="13">
        <v>704</v>
      </c>
      <c r="C51" s="14" t="s">
        <v>17</v>
      </c>
      <c r="D51" s="14"/>
      <c r="E51" s="14" t="s">
        <v>66</v>
      </c>
      <c r="F51" s="15">
        <v>0.7683</v>
      </c>
      <c r="G51" s="16">
        <f>VLOOKUP(B:B,[2]查询门店会员消费占比!$B$1:$F$65536,5,0)</f>
        <v>1938</v>
      </c>
      <c r="H51" s="16">
        <f>G51*0.06</f>
        <v>116.28</v>
      </c>
      <c r="I51" s="20">
        <f t="shared" si="2"/>
        <v>105</v>
      </c>
      <c r="J51" s="15">
        <v>0.7683</v>
      </c>
      <c r="K51" s="22">
        <v>0.832947</v>
      </c>
      <c r="L51" s="19">
        <v>169400</v>
      </c>
      <c r="M51" s="1">
        <f t="shared" si="3"/>
        <v>141101.2218</v>
      </c>
    </row>
    <row r="52" spans="1:13">
      <c r="A52" s="13">
        <v>50</v>
      </c>
      <c r="B52" s="13">
        <v>337</v>
      </c>
      <c r="C52" s="14" t="s">
        <v>22</v>
      </c>
      <c r="D52" s="14"/>
      <c r="E52" s="14" t="s">
        <v>67</v>
      </c>
      <c r="F52" s="15">
        <v>0.6464</v>
      </c>
      <c r="G52" s="16">
        <f>VLOOKUP(B:B,[2]查询门店会员消费占比!$B$1:$F$65536,5,0)</f>
        <v>8905</v>
      </c>
      <c r="H52" s="16">
        <f>G52*0.08</f>
        <v>712.4</v>
      </c>
      <c r="I52" s="23">
        <v>322</v>
      </c>
      <c r="J52" s="15">
        <v>0.6464</v>
      </c>
      <c r="K52" s="21">
        <v>0.648006</v>
      </c>
      <c r="L52" s="19">
        <v>823200</v>
      </c>
      <c r="M52" s="1">
        <f t="shared" si="3"/>
        <v>533438.5392</v>
      </c>
    </row>
    <row r="53" spans="1:13">
      <c r="A53" s="13">
        <v>51</v>
      </c>
      <c r="B53" s="13">
        <v>581</v>
      </c>
      <c r="C53" s="14" t="s">
        <v>12</v>
      </c>
      <c r="D53" s="14"/>
      <c r="E53" s="14" t="s">
        <v>68</v>
      </c>
      <c r="F53" s="15">
        <v>0.7404</v>
      </c>
      <c r="G53" s="16">
        <f>VLOOKUP(B:B,[2]查询门店会员消费占比!$B$1:$F$65536,5,0)</f>
        <v>6252</v>
      </c>
      <c r="H53" s="16">
        <f>G53*0.06</f>
        <v>375.12</v>
      </c>
      <c r="I53" s="20">
        <f t="shared" si="2"/>
        <v>339</v>
      </c>
      <c r="J53" s="15">
        <v>0.7404</v>
      </c>
      <c r="K53" s="21">
        <v>0.72828</v>
      </c>
      <c r="L53" s="19">
        <v>302400</v>
      </c>
      <c r="M53" s="1">
        <f t="shared" si="3"/>
        <v>220231.872</v>
      </c>
    </row>
    <row r="54" spans="1:13">
      <c r="A54" s="13">
        <v>52</v>
      </c>
      <c r="B54" s="13">
        <v>587</v>
      </c>
      <c r="C54" s="14" t="s">
        <v>17</v>
      </c>
      <c r="D54" s="14"/>
      <c r="E54" s="14" t="s">
        <v>69</v>
      </c>
      <c r="F54" s="15">
        <v>0.8056</v>
      </c>
      <c r="G54" s="16">
        <f>VLOOKUP(B:B,[2]查询门店会员消费占比!$B$1:$F$65536,5,0)</f>
        <v>1804</v>
      </c>
      <c r="H54" s="16">
        <f>G54*0.04</f>
        <v>72.16</v>
      </c>
      <c r="I54" s="20">
        <f t="shared" si="2"/>
        <v>65</v>
      </c>
      <c r="J54" s="15">
        <v>0.8056</v>
      </c>
      <c r="K54" s="22">
        <v>0.866681</v>
      </c>
      <c r="L54" s="19">
        <v>154000</v>
      </c>
      <c r="M54" s="1">
        <f t="shared" si="3"/>
        <v>133468.874</v>
      </c>
    </row>
    <row r="55" spans="1:13">
      <c r="A55" s="13">
        <v>53</v>
      </c>
      <c r="B55" s="13">
        <v>706</v>
      </c>
      <c r="C55" s="14" t="s">
        <v>17</v>
      </c>
      <c r="D55" s="14"/>
      <c r="E55" s="14" t="s">
        <v>70</v>
      </c>
      <c r="F55" s="15">
        <v>0.775</v>
      </c>
      <c r="G55" s="16">
        <f>VLOOKUP(B:B,[2]查询门店会员消费占比!$B$1:$F$65536,5,0)</f>
        <v>1764</v>
      </c>
      <c r="H55" s="16">
        <f>G55*0.06</f>
        <v>105.84</v>
      </c>
      <c r="I55" s="20">
        <f t="shared" si="2"/>
        <v>96</v>
      </c>
      <c r="J55" s="15">
        <v>0.775</v>
      </c>
      <c r="K55" s="22">
        <v>0.802546</v>
      </c>
      <c r="L55" s="19">
        <v>96600</v>
      </c>
      <c r="M55" s="1">
        <f t="shared" si="3"/>
        <v>77525.9436</v>
      </c>
    </row>
    <row r="56" spans="1:13">
      <c r="A56" s="13">
        <v>54</v>
      </c>
      <c r="B56" s="13">
        <v>308</v>
      </c>
      <c r="C56" s="14" t="s">
        <v>22</v>
      </c>
      <c r="D56" s="14"/>
      <c r="E56" s="14" t="s">
        <v>71</v>
      </c>
      <c r="F56" s="15">
        <v>0.6772</v>
      </c>
      <c r="G56" s="16">
        <f>VLOOKUP(B:B,[2]查询门店会员消费占比!$B$1:$F$65536,5,0)</f>
        <v>3614</v>
      </c>
      <c r="H56" s="16">
        <f>G56*0.08</f>
        <v>289.12</v>
      </c>
      <c r="I56" s="20">
        <f t="shared" si="2"/>
        <v>261</v>
      </c>
      <c r="J56" s="15">
        <v>0.6772</v>
      </c>
      <c r="K56" s="21">
        <v>0.626586</v>
      </c>
      <c r="L56" s="19">
        <v>231000</v>
      </c>
      <c r="M56" s="1">
        <f t="shared" si="3"/>
        <v>144741.366</v>
      </c>
    </row>
    <row r="57" spans="1:13">
      <c r="A57" s="13">
        <v>55</v>
      </c>
      <c r="B57" s="13">
        <v>539</v>
      </c>
      <c r="C57" s="14" t="s">
        <v>30</v>
      </c>
      <c r="D57" s="14"/>
      <c r="E57" s="14" t="s">
        <v>72</v>
      </c>
      <c r="F57" s="15">
        <v>0.8021</v>
      </c>
      <c r="G57" s="16">
        <f>VLOOKUP(B:B,[2]查询门店会员消费占比!$B$1:$F$65536,5,0)</f>
        <v>943</v>
      </c>
      <c r="H57" s="16">
        <f>G57*0.04</f>
        <v>37.72</v>
      </c>
      <c r="I57" s="20">
        <f t="shared" si="2"/>
        <v>34</v>
      </c>
      <c r="J57" s="15">
        <v>0.8021</v>
      </c>
      <c r="K57" s="22">
        <v>0.814161</v>
      </c>
      <c r="L57" s="19">
        <v>128800</v>
      </c>
      <c r="M57" s="1">
        <f t="shared" si="3"/>
        <v>104863.9368</v>
      </c>
    </row>
    <row r="58" spans="1:13">
      <c r="A58" s="13">
        <v>56</v>
      </c>
      <c r="B58" s="13">
        <v>594</v>
      </c>
      <c r="C58" s="14" t="s">
        <v>30</v>
      </c>
      <c r="D58" s="14"/>
      <c r="E58" s="14" t="s">
        <v>73</v>
      </c>
      <c r="F58" s="15">
        <v>0.8136</v>
      </c>
      <c r="G58" s="16">
        <f>VLOOKUP(B:B,[2]查询门店会员消费占比!$B$1:$F$65536,5,0)</f>
        <v>1672</v>
      </c>
      <c r="H58" s="16">
        <f>G58*0.04</f>
        <v>66.88</v>
      </c>
      <c r="I58" s="20">
        <f t="shared" si="2"/>
        <v>60</v>
      </c>
      <c r="J58" s="15">
        <v>0.8136</v>
      </c>
      <c r="K58" s="22">
        <v>0.843451</v>
      </c>
      <c r="L58" s="19">
        <v>109480</v>
      </c>
      <c r="M58" s="1">
        <f t="shared" si="3"/>
        <v>92341.01548</v>
      </c>
    </row>
    <row r="59" spans="1:13">
      <c r="A59" s="13">
        <v>57</v>
      </c>
      <c r="B59" s="13">
        <v>329</v>
      </c>
      <c r="C59" s="14" t="s">
        <v>17</v>
      </c>
      <c r="D59" s="14"/>
      <c r="E59" s="14" t="s">
        <v>74</v>
      </c>
      <c r="F59" s="15">
        <v>0.7972</v>
      </c>
      <c r="G59" s="16">
        <f>VLOOKUP(B:B,[2]查询门店会员消费占比!$B$1:$F$65536,5,0)</f>
        <v>2347</v>
      </c>
      <c r="H59" s="16">
        <f>G59*0.06</f>
        <v>140.82</v>
      </c>
      <c r="I59" s="20">
        <f t="shared" si="2"/>
        <v>127</v>
      </c>
      <c r="J59" s="15">
        <v>0.7972</v>
      </c>
      <c r="K59" s="22">
        <v>0.852137</v>
      </c>
      <c r="L59" s="19">
        <v>203280</v>
      </c>
      <c r="M59" s="1">
        <f t="shared" si="3"/>
        <v>173222.40936</v>
      </c>
    </row>
    <row r="60" spans="1:13">
      <c r="A60" s="13">
        <v>58</v>
      </c>
      <c r="B60" s="13">
        <v>745</v>
      </c>
      <c r="C60" s="14" t="s">
        <v>12</v>
      </c>
      <c r="D60" s="14"/>
      <c r="E60" s="14" t="s">
        <v>75</v>
      </c>
      <c r="F60" s="15">
        <v>0.6663</v>
      </c>
      <c r="G60" s="16">
        <f>VLOOKUP(B:B,[2]查询门店会员消费占比!$B$1:$F$65536,5,0)</f>
        <v>2994</v>
      </c>
      <c r="H60" s="16">
        <f>G60*0.08</f>
        <v>239.52</v>
      </c>
      <c r="I60" s="20">
        <f t="shared" si="2"/>
        <v>216</v>
      </c>
      <c r="J60" s="15">
        <v>0.6663</v>
      </c>
      <c r="K60" s="21">
        <v>0.66912</v>
      </c>
      <c r="L60" s="19">
        <v>157080</v>
      </c>
      <c r="M60" s="1">
        <f t="shared" si="3"/>
        <v>105105.3696</v>
      </c>
    </row>
    <row r="61" spans="1:13">
      <c r="A61" s="13">
        <v>59</v>
      </c>
      <c r="B61" s="13">
        <v>740</v>
      </c>
      <c r="C61" s="14" t="s">
        <v>15</v>
      </c>
      <c r="D61" s="14"/>
      <c r="E61" s="14" t="s">
        <v>76</v>
      </c>
      <c r="F61" s="15">
        <v>0.7476</v>
      </c>
      <c r="G61" s="16">
        <f>VLOOKUP(B:B,[2]查询门店会员消费占比!$B$1:$F$65536,5,0)</f>
        <v>2122</v>
      </c>
      <c r="H61" s="16">
        <f>G61*0.06</f>
        <v>127.32</v>
      </c>
      <c r="I61" s="20">
        <f t="shared" si="2"/>
        <v>115</v>
      </c>
      <c r="J61" s="15">
        <v>0.7476</v>
      </c>
      <c r="K61" s="22">
        <v>0.806384</v>
      </c>
      <c r="L61" s="19">
        <v>112700</v>
      </c>
      <c r="M61" s="1">
        <f t="shared" si="3"/>
        <v>90879.4768</v>
      </c>
    </row>
    <row r="62" spans="1:13">
      <c r="A62" s="13">
        <v>60</v>
      </c>
      <c r="B62" s="13">
        <v>367</v>
      </c>
      <c r="C62" s="14" t="s">
        <v>17</v>
      </c>
      <c r="D62" s="14"/>
      <c r="E62" s="14" t="s">
        <v>77</v>
      </c>
      <c r="F62" s="15">
        <v>0.8015</v>
      </c>
      <c r="G62" s="16">
        <f>VLOOKUP(B:B,[2]查询门店会员消费占比!$B$1:$F$65536,5,0)</f>
        <v>3035</v>
      </c>
      <c r="H62" s="16">
        <f>G62*0.04</f>
        <v>121.4</v>
      </c>
      <c r="I62" s="20">
        <f t="shared" si="2"/>
        <v>110</v>
      </c>
      <c r="J62" s="15">
        <v>0.8015</v>
      </c>
      <c r="K62" s="22">
        <v>0.847289</v>
      </c>
      <c r="L62" s="19">
        <v>184800</v>
      </c>
      <c r="M62" s="1">
        <f t="shared" si="3"/>
        <v>156579.0072</v>
      </c>
    </row>
    <row r="63" spans="1:13">
      <c r="A63" s="13">
        <v>61</v>
      </c>
      <c r="B63" s="13">
        <v>591</v>
      </c>
      <c r="C63" s="14" t="s">
        <v>30</v>
      </c>
      <c r="D63" s="14"/>
      <c r="E63" s="14" t="s">
        <v>78</v>
      </c>
      <c r="F63" s="15">
        <v>0.7336</v>
      </c>
      <c r="G63" s="16">
        <f>VLOOKUP(B:B,[2]查询门店会员消费占比!$B$1:$F$65536,5,0)</f>
        <v>2076</v>
      </c>
      <c r="H63" s="16">
        <f>G63*0.06</f>
        <v>124.56</v>
      </c>
      <c r="I63" s="20">
        <f t="shared" si="2"/>
        <v>113</v>
      </c>
      <c r="J63" s="15">
        <v>0.7336</v>
      </c>
      <c r="K63" s="21">
        <v>0.701352</v>
      </c>
      <c r="L63" s="19">
        <v>132440</v>
      </c>
      <c r="M63" s="1">
        <f t="shared" si="3"/>
        <v>92887.05888</v>
      </c>
    </row>
    <row r="64" spans="1:13">
      <c r="A64" s="13">
        <v>62</v>
      </c>
      <c r="B64" s="13">
        <v>753</v>
      </c>
      <c r="C64" s="14" t="s">
        <v>15</v>
      </c>
      <c r="D64" s="14"/>
      <c r="E64" s="14" t="s">
        <v>79</v>
      </c>
      <c r="F64" s="15">
        <v>0.8552</v>
      </c>
      <c r="G64" s="16">
        <f>VLOOKUP(B:B,[2]查询门店会员消费占比!$B$1:$F$65536,5,0)</f>
        <v>1712</v>
      </c>
      <c r="H64" s="16">
        <f>G64*0.04</f>
        <v>68.48</v>
      </c>
      <c r="I64" s="20">
        <f t="shared" si="2"/>
        <v>62</v>
      </c>
      <c r="J64" s="15">
        <v>0.8552</v>
      </c>
      <c r="K64" s="22">
        <v>0.855268</v>
      </c>
      <c r="L64" s="19">
        <v>90160</v>
      </c>
      <c r="M64" s="1">
        <f t="shared" si="3"/>
        <v>77110.96288</v>
      </c>
    </row>
    <row r="65" spans="1:13">
      <c r="A65" s="13">
        <v>63</v>
      </c>
      <c r="B65" s="13">
        <v>713</v>
      </c>
      <c r="C65" s="14" t="s">
        <v>17</v>
      </c>
      <c r="D65" s="14"/>
      <c r="E65" s="14" t="s">
        <v>80</v>
      </c>
      <c r="F65" s="15">
        <v>0.8476</v>
      </c>
      <c r="G65" s="16">
        <f>VLOOKUP(B:B,[2]查询门店会员消费占比!$B$1:$F$65536,5,0)</f>
        <v>905</v>
      </c>
      <c r="H65" s="16">
        <f>G65*0.04</f>
        <v>36.2</v>
      </c>
      <c r="I65" s="20">
        <f t="shared" si="2"/>
        <v>33</v>
      </c>
      <c r="J65" s="15">
        <v>0.8476</v>
      </c>
      <c r="K65" s="22">
        <v>0.890618</v>
      </c>
      <c r="L65" s="19">
        <v>96600</v>
      </c>
      <c r="M65" s="1">
        <f t="shared" si="3"/>
        <v>86033.6988</v>
      </c>
    </row>
    <row r="66" spans="1:13">
      <c r="A66" s="13">
        <v>64</v>
      </c>
      <c r="B66" s="13">
        <v>752</v>
      </c>
      <c r="C66" s="14" t="s">
        <v>12</v>
      </c>
      <c r="D66" s="14"/>
      <c r="E66" s="14" t="s">
        <v>81</v>
      </c>
      <c r="F66" s="15">
        <v>0.7211</v>
      </c>
      <c r="G66" s="16">
        <f>VLOOKUP(B:B,[2]查询门店会员消费占比!$B$1:$F$65536,5,0)</f>
        <v>2274</v>
      </c>
      <c r="H66" s="16">
        <f>G66*0.06</f>
        <v>136.44</v>
      </c>
      <c r="I66" s="20">
        <f t="shared" si="2"/>
        <v>123</v>
      </c>
      <c r="J66" s="15">
        <v>0.7211</v>
      </c>
      <c r="K66" s="21">
        <v>0.712368</v>
      </c>
      <c r="L66" s="19">
        <v>99820</v>
      </c>
      <c r="M66" s="1">
        <f t="shared" si="3"/>
        <v>71108.57376</v>
      </c>
    </row>
    <row r="67" spans="1:13">
      <c r="A67" s="13">
        <v>65</v>
      </c>
      <c r="B67" s="13">
        <v>707</v>
      </c>
      <c r="C67" s="14" t="s">
        <v>15</v>
      </c>
      <c r="D67" s="14"/>
      <c r="E67" s="14" t="s">
        <v>82</v>
      </c>
      <c r="F67" s="15">
        <v>0.8007</v>
      </c>
      <c r="G67" s="16">
        <f>VLOOKUP(B:B,[2]查询门店会员消费占比!$B$1:$F$65536,5,0)</f>
        <v>5306</v>
      </c>
      <c r="H67" s="16">
        <f>G67*0.04</f>
        <v>212.24</v>
      </c>
      <c r="I67" s="20">
        <f t="shared" si="2"/>
        <v>192</v>
      </c>
      <c r="J67" s="15">
        <v>0.8007</v>
      </c>
      <c r="K67" s="22">
        <v>0.821736</v>
      </c>
      <c r="L67" s="19">
        <v>302400</v>
      </c>
      <c r="M67" s="1">
        <f t="shared" si="3"/>
        <v>248492.9664</v>
      </c>
    </row>
    <row r="68" spans="1:13">
      <c r="A68" s="13">
        <v>66</v>
      </c>
      <c r="B68" s="13">
        <v>716</v>
      </c>
      <c r="C68" s="14" t="s">
        <v>30</v>
      </c>
      <c r="D68" s="14"/>
      <c r="E68" s="14" t="s">
        <v>83</v>
      </c>
      <c r="F68" s="15">
        <v>0.8106</v>
      </c>
      <c r="G68" s="16">
        <f>VLOOKUP(B:B,[2]查询门店会员消费占比!$B$1:$F$65536,5,0)</f>
        <v>2429</v>
      </c>
      <c r="H68" s="16">
        <f>G68*0.04</f>
        <v>97.16</v>
      </c>
      <c r="I68" s="20">
        <f t="shared" ref="I68:I94" si="4">ROUND(H68/31*28,0)</f>
        <v>88</v>
      </c>
      <c r="J68" s="15">
        <v>0.8106</v>
      </c>
      <c r="K68" s="22">
        <v>0.788002</v>
      </c>
      <c r="L68" s="19">
        <v>122360</v>
      </c>
      <c r="M68" s="1">
        <f t="shared" ref="M68:M99" si="5">L68*K68</f>
        <v>96419.92472</v>
      </c>
    </row>
    <row r="69" spans="1:13">
      <c r="A69" s="13">
        <v>67</v>
      </c>
      <c r="B69" s="13">
        <v>733</v>
      </c>
      <c r="C69" s="14" t="s">
        <v>15</v>
      </c>
      <c r="D69" s="14"/>
      <c r="E69" s="14" t="s">
        <v>84</v>
      </c>
      <c r="F69" s="15">
        <v>0.6116</v>
      </c>
      <c r="G69" s="16">
        <f>VLOOKUP(B:B,[2]查询门店会员消费占比!$B$1:$F$65536,5,0)</f>
        <v>2454</v>
      </c>
      <c r="H69" s="16">
        <f>G69*0.08</f>
        <v>196.32</v>
      </c>
      <c r="I69" s="20">
        <f t="shared" si="4"/>
        <v>177</v>
      </c>
      <c r="J69" s="15">
        <v>0.6116</v>
      </c>
      <c r="K69" s="21">
        <v>0.612102</v>
      </c>
      <c r="L69" s="19">
        <v>109480</v>
      </c>
      <c r="M69" s="1">
        <f t="shared" si="5"/>
        <v>67012.92696</v>
      </c>
    </row>
    <row r="70" spans="1:13">
      <c r="A70" s="13">
        <v>68</v>
      </c>
      <c r="B70" s="13">
        <v>737</v>
      </c>
      <c r="C70" s="14" t="s">
        <v>15</v>
      </c>
      <c r="D70" s="14"/>
      <c r="E70" s="14" t="s">
        <v>85</v>
      </c>
      <c r="F70" s="15">
        <v>0.6708</v>
      </c>
      <c r="G70" s="16">
        <f>VLOOKUP(B:B,[2]查询门店会员消费占比!$B$1:$F$65536,5,0)</f>
        <v>3392</v>
      </c>
      <c r="H70" s="16">
        <f>G70*0.08</f>
        <v>271.36</v>
      </c>
      <c r="I70" s="20">
        <f t="shared" si="4"/>
        <v>245</v>
      </c>
      <c r="J70" s="15">
        <v>0.6708</v>
      </c>
      <c r="K70" s="21">
        <v>0.741642</v>
      </c>
      <c r="L70" s="19">
        <v>169400</v>
      </c>
      <c r="M70" s="1">
        <f t="shared" si="5"/>
        <v>125634.1548</v>
      </c>
    </row>
    <row r="71" spans="1:13">
      <c r="A71" s="13">
        <v>69</v>
      </c>
      <c r="B71" s="13">
        <v>578</v>
      </c>
      <c r="C71" s="14" t="s">
        <v>22</v>
      </c>
      <c r="D71" s="14"/>
      <c r="E71" s="14" t="s">
        <v>86</v>
      </c>
      <c r="F71" s="15">
        <v>0.7694</v>
      </c>
      <c r="G71" s="16">
        <f>VLOOKUP(B:B,[2]查询门店会员消费占比!$B$1:$F$65536,5,0)</f>
        <v>4914</v>
      </c>
      <c r="H71" s="16">
        <f>G71*0.06</f>
        <v>294.84</v>
      </c>
      <c r="I71" s="20">
        <f t="shared" si="4"/>
        <v>266</v>
      </c>
      <c r="J71" s="15">
        <v>0.7694</v>
      </c>
      <c r="K71" s="22">
        <v>0.795678</v>
      </c>
      <c r="L71" s="19">
        <v>231000</v>
      </c>
      <c r="M71" s="1">
        <f t="shared" si="5"/>
        <v>183801.618</v>
      </c>
    </row>
    <row r="72" spans="1:13">
      <c r="A72" s="13">
        <v>70</v>
      </c>
      <c r="B72" s="13">
        <v>585</v>
      </c>
      <c r="C72" s="14" t="s">
        <v>12</v>
      </c>
      <c r="D72" s="14"/>
      <c r="E72" s="14" t="s">
        <v>87</v>
      </c>
      <c r="F72" s="15">
        <v>0.7351</v>
      </c>
      <c r="G72" s="16">
        <f>VLOOKUP(B:B,[2]查询门店会员消费占比!$B$1:$F$65536,5,0)</f>
        <v>5090</v>
      </c>
      <c r="H72" s="16">
        <f>G72*0.06</f>
        <v>305.4</v>
      </c>
      <c r="I72" s="20">
        <f t="shared" si="4"/>
        <v>276</v>
      </c>
      <c r="J72" s="15">
        <v>0.7351</v>
      </c>
      <c r="K72" s="22">
        <v>0.811333</v>
      </c>
      <c r="L72" s="19">
        <v>326592</v>
      </c>
      <c r="M72" s="1">
        <f t="shared" si="5"/>
        <v>264974.867136</v>
      </c>
    </row>
    <row r="73" spans="1:13">
      <c r="A73" s="13">
        <v>71</v>
      </c>
      <c r="B73" s="13">
        <v>727</v>
      </c>
      <c r="C73" s="14" t="s">
        <v>12</v>
      </c>
      <c r="D73" s="14"/>
      <c r="E73" s="14" t="s">
        <v>88</v>
      </c>
      <c r="F73" s="15">
        <v>0.7623</v>
      </c>
      <c r="G73" s="16">
        <f>VLOOKUP(B:B,[2]查询门店会员消费占比!$B$1:$F$65536,5,0)</f>
        <v>2383</v>
      </c>
      <c r="H73" s="16">
        <f>G73*0.06</f>
        <v>142.98</v>
      </c>
      <c r="I73" s="20">
        <f t="shared" si="4"/>
        <v>129</v>
      </c>
      <c r="J73" s="15">
        <v>0.7623</v>
      </c>
      <c r="K73" s="21">
        <v>0.73185</v>
      </c>
      <c r="L73" s="19">
        <v>127820</v>
      </c>
      <c r="M73" s="1">
        <f t="shared" si="5"/>
        <v>93545.067</v>
      </c>
    </row>
    <row r="74" spans="1:13">
      <c r="A74" s="13">
        <v>72</v>
      </c>
      <c r="B74" s="13">
        <v>379</v>
      </c>
      <c r="C74" s="14" t="s">
        <v>12</v>
      </c>
      <c r="D74" s="14"/>
      <c r="E74" s="14" t="s">
        <v>89</v>
      </c>
      <c r="F74" s="15">
        <v>0.7869</v>
      </c>
      <c r="G74" s="16">
        <f>VLOOKUP(B:B,[2]查询门店会员消费占比!$B$1:$F$65536,5,0)</f>
        <v>3831</v>
      </c>
      <c r="H74" s="16">
        <f>G74*0.06</f>
        <v>229.86</v>
      </c>
      <c r="I74" s="20">
        <f t="shared" si="4"/>
        <v>208</v>
      </c>
      <c r="J74" s="15">
        <v>0.7869</v>
      </c>
      <c r="K74" s="22">
        <v>0.773862</v>
      </c>
      <c r="L74" s="19">
        <v>209440</v>
      </c>
      <c r="M74" s="1">
        <f t="shared" si="5"/>
        <v>162077.65728</v>
      </c>
    </row>
    <row r="75" spans="1:13">
      <c r="A75" s="13">
        <v>73</v>
      </c>
      <c r="B75" s="13">
        <v>549</v>
      </c>
      <c r="C75" s="14" t="s">
        <v>30</v>
      </c>
      <c r="D75" s="14"/>
      <c r="E75" s="14" t="s">
        <v>90</v>
      </c>
      <c r="F75" s="15">
        <v>0.8922</v>
      </c>
      <c r="G75" s="16">
        <f>VLOOKUP(B:B,[2]查询门店会员消费占比!$B$1:$F$65536,5,0)</f>
        <v>1151</v>
      </c>
      <c r="H75" s="16">
        <f>G75*0.04</f>
        <v>46.04</v>
      </c>
      <c r="I75" s="20">
        <f t="shared" si="4"/>
        <v>42</v>
      </c>
      <c r="J75" s="15">
        <v>0.8922</v>
      </c>
      <c r="K75" s="22">
        <v>0.883043</v>
      </c>
      <c r="L75" s="19">
        <v>128800</v>
      </c>
      <c r="M75" s="1">
        <f t="shared" si="5"/>
        <v>113735.9384</v>
      </c>
    </row>
    <row r="76" spans="1:13">
      <c r="A76" s="13">
        <v>74</v>
      </c>
      <c r="B76" s="13">
        <v>720</v>
      </c>
      <c r="C76" s="14" t="s">
        <v>30</v>
      </c>
      <c r="D76" s="14"/>
      <c r="E76" s="14" t="s">
        <v>91</v>
      </c>
      <c r="F76" s="15">
        <v>0.8037</v>
      </c>
      <c r="G76" s="16">
        <f>VLOOKUP(B:B,[2]查询门店会员消费占比!$B$1:$F$65536,5,0)</f>
        <v>1689</v>
      </c>
      <c r="H76" s="16">
        <f>G76*0.04</f>
        <v>67.56</v>
      </c>
      <c r="I76" s="20">
        <f t="shared" si="4"/>
        <v>61</v>
      </c>
      <c r="J76" s="15">
        <v>0.8037</v>
      </c>
      <c r="K76" s="22">
        <v>0.844966</v>
      </c>
      <c r="L76" s="19">
        <v>106260</v>
      </c>
      <c r="M76" s="1">
        <f t="shared" si="5"/>
        <v>89786.08716</v>
      </c>
    </row>
    <row r="77" spans="1:13">
      <c r="A77" s="13">
        <v>75</v>
      </c>
      <c r="B77" s="13">
        <v>517</v>
      </c>
      <c r="C77" s="14" t="s">
        <v>22</v>
      </c>
      <c r="D77" s="14"/>
      <c r="E77" s="14" t="s">
        <v>92</v>
      </c>
      <c r="F77" s="15">
        <v>0.3427</v>
      </c>
      <c r="G77" s="16">
        <f>VLOOKUP(B:B,[2]查询门店会员消费占比!$B$1:$F$65536,5,0)</f>
        <v>7460</v>
      </c>
      <c r="H77" s="17">
        <f>G77*0.12</f>
        <v>895.2</v>
      </c>
      <c r="I77" s="23">
        <v>404</v>
      </c>
      <c r="J77" s="15">
        <v>0.3427</v>
      </c>
      <c r="K77" s="21">
        <v>0.403208</v>
      </c>
      <c r="L77" s="19">
        <v>558600</v>
      </c>
      <c r="M77" s="1">
        <f t="shared" si="5"/>
        <v>225231.9888</v>
      </c>
    </row>
    <row r="78" spans="1:13">
      <c r="A78" s="13">
        <v>76</v>
      </c>
      <c r="B78" s="13">
        <v>573</v>
      </c>
      <c r="C78" s="14" t="s">
        <v>15</v>
      </c>
      <c r="D78" s="14"/>
      <c r="E78" s="14" t="s">
        <v>93</v>
      </c>
      <c r="F78" s="15">
        <v>0.7539</v>
      </c>
      <c r="G78" s="16">
        <f>VLOOKUP(B:B,[2]查询门店会员消费占比!$B$1:$F$65536,5,0)</f>
        <v>2773</v>
      </c>
      <c r="H78" s="16">
        <f>G78*0.06</f>
        <v>166.38</v>
      </c>
      <c r="I78" s="20">
        <f t="shared" si="4"/>
        <v>150</v>
      </c>
      <c r="J78" s="15">
        <v>0.7539</v>
      </c>
      <c r="K78" s="22">
        <v>0.787901</v>
      </c>
      <c r="L78" s="19">
        <v>128800</v>
      </c>
      <c r="M78" s="1">
        <f t="shared" si="5"/>
        <v>101481.6488</v>
      </c>
    </row>
    <row r="79" spans="1:13">
      <c r="A79" s="13">
        <v>77</v>
      </c>
      <c r="B79" s="13">
        <v>738</v>
      </c>
      <c r="C79" s="14" t="s">
        <v>17</v>
      </c>
      <c r="D79" s="14"/>
      <c r="E79" s="14" t="s">
        <v>94</v>
      </c>
      <c r="F79" s="15">
        <v>0.8227</v>
      </c>
      <c r="G79" s="16">
        <f>VLOOKUP(B:B,[2]查询门店会员消费占比!$B$1:$F$65536,5,0)</f>
        <v>1650</v>
      </c>
      <c r="H79" s="16">
        <f>G79*0.04</f>
        <v>66</v>
      </c>
      <c r="I79" s="20">
        <f t="shared" si="4"/>
        <v>60</v>
      </c>
      <c r="J79" s="15">
        <v>0.8227</v>
      </c>
      <c r="K79" s="22">
        <v>0.901627</v>
      </c>
      <c r="L79" s="19">
        <v>115920</v>
      </c>
      <c r="M79" s="1">
        <f t="shared" si="5"/>
        <v>104516.60184</v>
      </c>
    </row>
    <row r="80" spans="1:13">
      <c r="A80" s="13">
        <v>78</v>
      </c>
      <c r="B80" s="13">
        <v>373</v>
      </c>
      <c r="C80" s="14" t="s">
        <v>22</v>
      </c>
      <c r="D80" s="14"/>
      <c r="E80" s="14" t="s">
        <v>95</v>
      </c>
      <c r="F80" s="15">
        <v>0.8193</v>
      </c>
      <c r="G80" s="16">
        <f>VLOOKUP(B:B,[2]查询门店会员消费占比!$B$1:$F$65536,5,0)</f>
        <v>4578</v>
      </c>
      <c r="H80" s="16">
        <f>G80*0.04</f>
        <v>183.12</v>
      </c>
      <c r="I80" s="20">
        <f t="shared" si="4"/>
        <v>165</v>
      </c>
      <c r="J80" s="15">
        <v>0.8193</v>
      </c>
      <c r="K80" s="22">
        <v>0.852238</v>
      </c>
      <c r="L80" s="19">
        <v>272160</v>
      </c>
      <c r="M80" s="1">
        <f t="shared" si="5"/>
        <v>231945.09408</v>
      </c>
    </row>
    <row r="81" spans="1:13">
      <c r="A81" s="13">
        <v>79</v>
      </c>
      <c r="B81" s="13">
        <v>101453</v>
      </c>
      <c r="C81" s="14" t="s">
        <v>17</v>
      </c>
      <c r="D81" s="14" t="s">
        <v>96</v>
      </c>
      <c r="E81" s="14" t="s">
        <v>97</v>
      </c>
      <c r="F81" s="15">
        <v>0.6892</v>
      </c>
      <c r="G81" s="16">
        <f>VLOOKUP(B:B,[2]查询门店会员消费占比!$B$1:$F$65536,5,0)</f>
        <v>3316</v>
      </c>
      <c r="H81" s="16">
        <f>G81*0.08</f>
        <v>265.28</v>
      </c>
      <c r="I81" s="20">
        <f t="shared" si="4"/>
        <v>240</v>
      </c>
      <c r="J81" s="15">
        <v>0.6892</v>
      </c>
      <c r="K81" s="21">
        <v>0.69411</v>
      </c>
      <c r="L81" s="19">
        <v>154000</v>
      </c>
      <c r="M81" s="1">
        <f t="shared" si="5"/>
        <v>106892.94</v>
      </c>
    </row>
    <row r="82" spans="1:13">
      <c r="A82" s="13">
        <v>80</v>
      </c>
      <c r="B82" s="13">
        <v>385</v>
      </c>
      <c r="C82" s="14" t="s">
        <v>30</v>
      </c>
      <c r="D82" s="14"/>
      <c r="E82" s="14" t="s">
        <v>98</v>
      </c>
      <c r="F82" s="15">
        <v>0.8096</v>
      </c>
      <c r="G82" s="16">
        <f>VLOOKUP(B:B,[2]查询门店会员消费占比!$B$1:$F$65536,5,0)</f>
        <v>3878</v>
      </c>
      <c r="H82" s="16">
        <f>G82*0.04</f>
        <v>155.12</v>
      </c>
      <c r="I82" s="20">
        <f t="shared" si="4"/>
        <v>140</v>
      </c>
      <c r="J82" s="15">
        <v>0.8096</v>
      </c>
      <c r="K82" s="22">
        <v>0.865772</v>
      </c>
      <c r="L82" s="19">
        <v>302400</v>
      </c>
      <c r="M82" s="1">
        <f t="shared" si="5"/>
        <v>261809.4528</v>
      </c>
    </row>
    <row r="83" spans="1:13">
      <c r="A83" s="13">
        <v>81</v>
      </c>
      <c r="B83" s="13">
        <v>347</v>
      </c>
      <c r="C83" s="14" t="s">
        <v>12</v>
      </c>
      <c r="D83" s="14"/>
      <c r="E83" s="14" t="s">
        <v>99</v>
      </c>
      <c r="F83" s="15">
        <v>0.7012</v>
      </c>
      <c r="G83" s="16">
        <f>VLOOKUP(B:B,[2]查询门店会员消费占比!$B$1:$F$65536,5,0)</f>
        <v>2894</v>
      </c>
      <c r="H83" s="16">
        <f>G83*0.06</f>
        <v>173.64</v>
      </c>
      <c r="I83" s="20">
        <f t="shared" si="4"/>
        <v>157</v>
      </c>
      <c r="J83" s="15">
        <v>0.7012</v>
      </c>
      <c r="K83" s="21">
        <v>0.725322</v>
      </c>
      <c r="L83" s="19">
        <v>138600</v>
      </c>
      <c r="M83" s="1">
        <f t="shared" si="5"/>
        <v>100529.6292</v>
      </c>
    </row>
    <row r="84" spans="1:13">
      <c r="A84" s="13">
        <v>82</v>
      </c>
      <c r="B84" s="13">
        <v>339</v>
      </c>
      <c r="C84" s="14" t="s">
        <v>12</v>
      </c>
      <c r="D84" s="14"/>
      <c r="E84" s="14" t="s">
        <v>100</v>
      </c>
      <c r="F84" s="15">
        <v>0.7297</v>
      </c>
      <c r="G84" s="16">
        <f>VLOOKUP(B:B,[2]查询门店会员消费占比!$B$1:$F$65536,5,0)</f>
        <v>1964</v>
      </c>
      <c r="H84" s="16">
        <f>G84*0.06</f>
        <v>117.84</v>
      </c>
      <c r="I84" s="20">
        <f t="shared" si="4"/>
        <v>106</v>
      </c>
      <c r="J84" s="15">
        <v>0.7297</v>
      </c>
      <c r="K84" s="22">
        <v>0.772751</v>
      </c>
      <c r="L84" s="19">
        <v>130925.2</v>
      </c>
      <c r="M84" s="1">
        <f t="shared" si="5"/>
        <v>101172.5792252</v>
      </c>
    </row>
    <row r="85" spans="1:13">
      <c r="A85" s="13">
        <v>83</v>
      </c>
      <c r="B85" s="13">
        <v>511</v>
      </c>
      <c r="C85" s="14" t="s">
        <v>22</v>
      </c>
      <c r="D85" s="14"/>
      <c r="E85" s="14" t="s">
        <v>101</v>
      </c>
      <c r="F85" s="15">
        <v>0.7905</v>
      </c>
      <c r="G85" s="16">
        <f>VLOOKUP(B:B,[2]查询门店会员消费占比!$B$1:$F$65536,5,0)</f>
        <v>4153</v>
      </c>
      <c r="H85" s="16">
        <f>G85*0.06</f>
        <v>249.18</v>
      </c>
      <c r="I85" s="20">
        <f t="shared" si="4"/>
        <v>225</v>
      </c>
      <c r="J85" s="15">
        <v>0.7905</v>
      </c>
      <c r="K85" s="22">
        <v>0.795173</v>
      </c>
      <c r="L85" s="19">
        <v>184800</v>
      </c>
      <c r="M85" s="1">
        <f t="shared" si="5"/>
        <v>146947.9704</v>
      </c>
    </row>
    <row r="86" spans="1:13">
      <c r="A86" s="13">
        <v>84</v>
      </c>
      <c r="B86" s="13">
        <v>311</v>
      </c>
      <c r="C86" s="14" t="s">
        <v>12</v>
      </c>
      <c r="D86" s="14"/>
      <c r="E86" s="14" t="s">
        <v>102</v>
      </c>
      <c r="F86" s="15">
        <v>0.5923</v>
      </c>
      <c r="G86" s="16">
        <f>VLOOKUP(B:B,[2]查询门店会员消费占比!$B$1:$F$65536,5,0)</f>
        <v>1166</v>
      </c>
      <c r="H86" s="16">
        <f>G86*0.1</f>
        <v>116.6</v>
      </c>
      <c r="I86" s="20">
        <f t="shared" si="4"/>
        <v>105</v>
      </c>
      <c r="J86" s="15">
        <v>0.5923</v>
      </c>
      <c r="K86" s="21">
        <v>0.738276</v>
      </c>
      <c r="L86" s="19">
        <v>154000</v>
      </c>
      <c r="M86" s="1">
        <f t="shared" si="5"/>
        <v>113694.504</v>
      </c>
    </row>
    <row r="87" s="1" customFormat="1" spans="1:13">
      <c r="A87" s="13">
        <v>85</v>
      </c>
      <c r="B87" s="13">
        <v>102565</v>
      </c>
      <c r="C87" s="14" t="s">
        <v>12</v>
      </c>
      <c r="D87" s="14" t="s">
        <v>103</v>
      </c>
      <c r="E87" s="14" t="s">
        <v>104</v>
      </c>
      <c r="F87" s="15">
        <v>0.5205</v>
      </c>
      <c r="G87" s="16">
        <f>VLOOKUP(B:B,[2]查询门店会员消费占比!$B$1:$F$65536,5,0)</f>
        <v>3901</v>
      </c>
      <c r="H87" s="16">
        <f>G87*0.1</f>
        <v>390.1</v>
      </c>
      <c r="I87" s="20">
        <f t="shared" si="4"/>
        <v>352</v>
      </c>
      <c r="J87" s="15">
        <v>0.5205</v>
      </c>
      <c r="K87" s="21">
        <v>0.47216</v>
      </c>
      <c r="L87" s="19">
        <v>147840</v>
      </c>
      <c r="M87" s="1">
        <f t="shared" si="5"/>
        <v>69804.1344</v>
      </c>
    </row>
    <row r="88" s="1" customFormat="1" spans="1:13">
      <c r="A88" s="13">
        <v>86</v>
      </c>
      <c r="B88" s="13">
        <v>102564</v>
      </c>
      <c r="C88" s="14" t="s">
        <v>30</v>
      </c>
      <c r="D88" s="14" t="s">
        <v>105</v>
      </c>
      <c r="E88" s="14" t="s">
        <v>106</v>
      </c>
      <c r="F88" s="15">
        <v>0.7734</v>
      </c>
      <c r="G88" s="16">
        <f>VLOOKUP(B:B,[2]查询门店会员消费占比!$B$1:$F$65536,5,0)</f>
        <v>1722</v>
      </c>
      <c r="H88" s="16">
        <f>G88*0.06</f>
        <v>103.32</v>
      </c>
      <c r="I88" s="20">
        <v>196</v>
      </c>
      <c r="J88" s="15">
        <v>0.7734</v>
      </c>
      <c r="K88" s="21">
        <v>0.727056</v>
      </c>
      <c r="L88" s="19">
        <v>70840</v>
      </c>
      <c r="M88" s="1">
        <f t="shared" si="5"/>
        <v>51504.64704</v>
      </c>
    </row>
    <row r="89" s="1" customFormat="1" spans="1:13">
      <c r="A89" s="13">
        <v>87</v>
      </c>
      <c r="B89" s="13">
        <v>103198</v>
      </c>
      <c r="C89" s="14" t="s">
        <v>12</v>
      </c>
      <c r="D89" s="14" t="s">
        <v>107</v>
      </c>
      <c r="E89" s="14" t="s">
        <v>108</v>
      </c>
      <c r="F89" s="15">
        <v>0.6647</v>
      </c>
      <c r="G89" s="16">
        <f>VLOOKUP(B:B,[2]查询门店会员消费占比!$B$1:$F$65536,5,0)</f>
        <v>3552</v>
      </c>
      <c r="H89" s="16">
        <f>G89*0.08</f>
        <v>284.16</v>
      </c>
      <c r="I89" s="20">
        <f t="shared" si="4"/>
        <v>257</v>
      </c>
      <c r="J89" s="15">
        <v>0.6647</v>
      </c>
      <c r="K89" s="21">
        <v>0.691968</v>
      </c>
      <c r="L89" s="19">
        <v>160160</v>
      </c>
      <c r="M89" s="1">
        <f t="shared" si="5"/>
        <v>110825.59488</v>
      </c>
    </row>
    <row r="90" s="1" customFormat="1" spans="1:13">
      <c r="A90" s="13">
        <v>88</v>
      </c>
      <c r="B90" s="13">
        <v>102935</v>
      </c>
      <c r="C90" s="14" t="s">
        <v>22</v>
      </c>
      <c r="D90" s="14" t="s">
        <v>107</v>
      </c>
      <c r="E90" s="14" t="s">
        <v>109</v>
      </c>
      <c r="F90" s="15">
        <v>0.7011</v>
      </c>
      <c r="G90" s="16">
        <f>VLOOKUP(B:B,[2]查询门店会员消费占比!$B$1:$F$65536,5,0)</f>
        <v>3102</v>
      </c>
      <c r="H90" s="16">
        <f>G90*0.06</f>
        <v>186.12</v>
      </c>
      <c r="I90" s="20">
        <v>196</v>
      </c>
      <c r="J90" s="15">
        <v>0.7011</v>
      </c>
      <c r="K90" s="21">
        <v>0.670752</v>
      </c>
      <c r="L90" s="19">
        <v>129360</v>
      </c>
      <c r="M90" s="1">
        <f t="shared" si="5"/>
        <v>86768.47872</v>
      </c>
    </row>
    <row r="91" spans="1:13">
      <c r="A91" s="13">
        <v>89</v>
      </c>
      <c r="B91" s="13">
        <v>102479</v>
      </c>
      <c r="C91" s="14" t="s">
        <v>22</v>
      </c>
      <c r="D91" s="14" t="s">
        <v>110</v>
      </c>
      <c r="E91" s="14" t="s">
        <v>111</v>
      </c>
      <c r="F91" s="15">
        <v>0.7052</v>
      </c>
      <c r="G91" s="16">
        <f>VLOOKUP(B:B,[2]查询门店会员消费占比!$B$1:$F$65536,5,0)</f>
        <v>2745</v>
      </c>
      <c r="H91" s="16">
        <f>G91*0.06</f>
        <v>164.7</v>
      </c>
      <c r="I91" s="20">
        <f t="shared" si="4"/>
        <v>149</v>
      </c>
      <c r="J91" s="15">
        <v>0.7052</v>
      </c>
      <c r="K91" s="22">
        <v>0.771236</v>
      </c>
      <c r="L91" s="19">
        <v>128800</v>
      </c>
      <c r="M91" s="1">
        <f t="shared" si="5"/>
        <v>99335.1968</v>
      </c>
    </row>
    <row r="92" s="1" customFormat="1" spans="1:13">
      <c r="A92" s="13">
        <v>90</v>
      </c>
      <c r="B92" s="13">
        <v>102934</v>
      </c>
      <c r="C92" s="14" t="s">
        <v>12</v>
      </c>
      <c r="D92" s="14" t="s">
        <v>112</v>
      </c>
      <c r="E92" s="14" t="s">
        <v>113</v>
      </c>
      <c r="F92" s="15">
        <v>0.6586</v>
      </c>
      <c r="G92" s="16">
        <f>VLOOKUP(B:B,[2]查询门店会员消费占比!$B$1:$F$65536,5,0)</f>
        <v>4608</v>
      </c>
      <c r="H92" s="16">
        <f>G92*0.08</f>
        <v>368.64</v>
      </c>
      <c r="I92" s="20">
        <f t="shared" si="4"/>
        <v>333</v>
      </c>
      <c r="J92" s="15">
        <v>0.6586</v>
      </c>
      <c r="K92" s="21">
        <v>0.720222</v>
      </c>
      <c r="L92" s="19">
        <v>226800</v>
      </c>
      <c r="M92" s="1">
        <f t="shared" si="5"/>
        <v>163346.3496</v>
      </c>
    </row>
    <row r="93" spans="1:13">
      <c r="A93" s="13">
        <v>91</v>
      </c>
      <c r="B93" s="13">
        <v>102567</v>
      </c>
      <c r="C93" s="14" t="s">
        <v>30</v>
      </c>
      <c r="D93" s="14" t="s">
        <v>114</v>
      </c>
      <c r="E93" s="14" t="s">
        <v>115</v>
      </c>
      <c r="F93" s="15">
        <v>0.7417</v>
      </c>
      <c r="G93" s="16">
        <f>VLOOKUP(B:B,[2]查询门店会员消费占比!$B$1:$F$65536,5,0)</f>
        <v>1492</v>
      </c>
      <c r="H93" s="16">
        <f>G93*0.06</f>
        <v>89.52</v>
      </c>
      <c r="I93" s="20">
        <v>226</v>
      </c>
      <c r="J93" s="15">
        <v>0.7417</v>
      </c>
      <c r="K93" s="21">
        <v>0.69717</v>
      </c>
      <c r="L93" s="19">
        <v>90160</v>
      </c>
      <c r="M93" s="1">
        <f t="shared" si="5"/>
        <v>62856.8472</v>
      </c>
    </row>
    <row r="94" s="2" customFormat="1" spans="1:13">
      <c r="A94" s="13">
        <v>92</v>
      </c>
      <c r="B94" s="13">
        <v>102478</v>
      </c>
      <c r="C94" s="14" t="s">
        <v>22</v>
      </c>
      <c r="D94" s="14" t="s">
        <v>116</v>
      </c>
      <c r="E94" s="14" t="s">
        <v>117</v>
      </c>
      <c r="F94" s="15">
        <v>0.814</v>
      </c>
      <c r="G94" s="16">
        <f>VLOOKUP(B:B,[2]查询门店会员消费占比!$B$1:$F$65536,5,0)</f>
        <v>1632</v>
      </c>
      <c r="H94" s="16">
        <f>G94*0.04</f>
        <v>65.28</v>
      </c>
      <c r="I94" s="20">
        <v>267</v>
      </c>
      <c r="J94" s="15">
        <v>0.814</v>
      </c>
      <c r="K94" s="22">
        <v>0.835573</v>
      </c>
      <c r="L94" s="19">
        <v>80500</v>
      </c>
      <c r="M94" s="1">
        <f t="shared" si="5"/>
        <v>67263.6265</v>
      </c>
    </row>
    <row r="95" spans="1:13">
      <c r="A95" s="13">
        <v>93</v>
      </c>
      <c r="B95" s="13">
        <v>103199</v>
      </c>
      <c r="C95" s="14" t="s">
        <v>12</v>
      </c>
      <c r="D95" s="14" t="s">
        <v>118</v>
      </c>
      <c r="E95" s="24" t="s">
        <v>119</v>
      </c>
      <c r="F95" s="15">
        <v>0.6055</v>
      </c>
      <c r="G95" s="16">
        <f>VLOOKUP(B:B,[2]查询门店会员消费占比!$B$1:$F$65536,5,0)</f>
        <v>2968</v>
      </c>
      <c r="H95" s="16">
        <f>G95*0.08</f>
        <v>237.44</v>
      </c>
      <c r="I95" s="20"/>
      <c r="J95" s="15">
        <v>0.6055</v>
      </c>
      <c r="K95" s="21"/>
      <c r="L95" s="19"/>
      <c r="M95" s="1">
        <f t="shared" si="5"/>
        <v>0</v>
      </c>
    </row>
    <row r="96" spans="1:13">
      <c r="A96" s="13">
        <v>94</v>
      </c>
      <c r="B96" s="13">
        <v>103639</v>
      </c>
      <c r="C96" s="14" t="s">
        <v>15</v>
      </c>
      <c r="D96" s="14" t="s">
        <v>120</v>
      </c>
      <c r="E96" s="24" t="s">
        <v>121</v>
      </c>
      <c r="F96" s="15">
        <v>0.5634</v>
      </c>
      <c r="G96" s="16">
        <f>VLOOKUP(B:B,[2]查询门店会员消费占比!$B$1:$F$65536,5,0)</f>
        <v>2951</v>
      </c>
      <c r="H96" s="16">
        <f>G96*0.1</f>
        <v>295.1</v>
      </c>
      <c r="I96" s="20"/>
      <c r="J96" s="15">
        <v>0.5634</v>
      </c>
      <c r="K96" s="21"/>
      <c r="L96" s="19"/>
      <c r="M96" s="1">
        <f t="shared" si="5"/>
        <v>0</v>
      </c>
    </row>
    <row r="97" ht="14.25" spans="1:13">
      <c r="A97" s="13">
        <v>95</v>
      </c>
      <c r="B97" s="25">
        <v>104428</v>
      </c>
      <c r="C97" s="14" t="s">
        <v>17</v>
      </c>
      <c r="D97" s="14" t="s">
        <v>122</v>
      </c>
      <c r="E97" s="24" t="s">
        <v>123</v>
      </c>
      <c r="F97" s="15">
        <v>0.6822</v>
      </c>
      <c r="G97" s="16">
        <f>VLOOKUP(B:B,[2]查询门店会员消费占比!$B$1:$F$65536,5,0)</f>
        <v>1056</v>
      </c>
      <c r="H97" s="16">
        <f>G97*0.08</f>
        <v>84.48</v>
      </c>
      <c r="I97" s="20"/>
      <c r="J97" s="15">
        <v>0.6822</v>
      </c>
      <c r="K97" s="21"/>
      <c r="L97" s="19"/>
      <c r="M97" s="1">
        <f t="shared" si="5"/>
        <v>0</v>
      </c>
    </row>
    <row r="98" spans="1:13">
      <c r="A98" s="13">
        <v>96</v>
      </c>
      <c r="B98" s="25">
        <v>104429</v>
      </c>
      <c r="C98" s="14" t="str">
        <f>VLOOKUP(B:B,[1]查询时间段分门店销售汇总!$D$1:$H$65536,5,0)</f>
        <v>西北片区</v>
      </c>
      <c r="D98" s="14" t="s">
        <v>124</v>
      </c>
      <c r="E98" s="24" t="s">
        <v>125</v>
      </c>
      <c r="F98" s="15">
        <v>0.4338</v>
      </c>
      <c r="G98" s="16">
        <f>VLOOKUP(B:B,[2]查询门店会员消费占比!$B$1:$F$65536,5,0)</f>
        <v>1305</v>
      </c>
      <c r="H98" s="17">
        <f>G98*0.12</f>
        <v>156.6</v>
      </c>
      <c r="I98" s="32"/>
      <c r="J98" s="15">
        <v>0.4338</v>
      </c>
      <c r="K98" s="21"/>
      <c r="L98" s="19"/>
      <c r="M98" s="1">
        <f t="shared" si="5"/>
        <v>0</v>
      </c>
    </row>
    <row r="99" spans="1:13">
      <c r="A99" s="13">
        <v>97</v>
      </c>
      <c r="B99" s="25">
        <v>104430</v>
      </c>
      <c r="C99" s="14" t="str">
        <f>VLOOKUP(B:B,[1]查询时间段分门店销售汇总!$D$1:$H$65536,5,0)</f>
        <v>东南片区</v>
      </c>
      <c r="D99" s="14" t="s">
        <v>126</v>
      </c>
      <c r="E99" s="24" t="s">
        <v>127</v>
      </c>
      <c r="F99" s="15">
        <v>0.7656</v>
      </c>
      <c r="G99" s="16">
        <f>VLOOKUP(B:B,[2]查询门店会员消费占比!$B$1:$F$65536,5,0)</f>
        <v>1325</v>
      </c>
      <c r="H99" s="16">
        <f>G99*0.06</f>
        <v>79.5</v>
      </c>
      <c r="I99" s="32"/>
      <c r="J99" s="15">
        <v>0.7656</v>
      </c>
      <c r="K99" s="21"/>
      <c r="L99" s="19"/>
      <c r="M99" s="1">
        <f t="shared" si="5"/>
        <v>0</v>
      </c>
    </row>
    <row r="100" spans="1:13">
      <c r="A100" s="13">
        <v>98</v>
      </c>
      <c r="B100" s="25">
        <v>104533</v>
      </c>
      <c r="C100" s="14" t="s">
        <v>30</v>
      </c>
      <c r="D100" s="14" t="s">
        <v>128</v>
      </c>
      <c r="E100" s="24" t="s">
        <v>129</v>
      </c>
      <c r="F100" s="15">
        <v>0.7693</v>
      </c>
      <c r="G100" s="16">
        <f>VLOOKUP(B:B,[2]查询门店会员消费占比!$B$1:$F$65536,5,0)</f>
        <v>1508</v>
      </c>
      <c r="H100" s="16">
        <f>G100*0.06</f>
        <v>90.48</v>
      </c>
      <c r="I100" s="32"/>
      <c r="J100" s="15">
        <v>0.7693</v>
      </c>
      <c r="K100" s="21"/>
      <c r="L100" s="19"/>
      <c r="M100" s="1">
        <f>L100*K100</f>
        <v>0</v>
      </c>
    </row>
    <row r="101" ht="14" customHeight="1" spans="1:13">
      <c r="A101" s="13">
        <v>99</v>
      </c>
      <c r="B101" s="25">
        <v>104838</v>
      </c>
      <c r="C101" s="14" t="s">
        <v>17</v>
      </c>
      <c r="D101" s="14" t="s">
        <v>130</v>
      </c>
      <c r="E101" s="24" t="s">
        <v>131</v>
      </c>
      <c r="F101" s="15">
        <v>0.7423</v>
      </c>
      <c r="G101" s="16">
        <f>VLOOKUP(B:B,[2]查询门店会员消费占比!$B$1:$F$65536,5,0)</f>
        <v>1221</v>
      </c>
      <c r="H101" s="16">
        <f>G101*0.06</f>
        <v>73.26</v>
      </c>
      <c r="I101" s="32"/>
      <c r="J101" s="15">
        <v>0.7423</v>
      </c>
      <c r="K101" s="21"/>
      <c r="L101" s="19"/>
      <c r="M101" s="1">
        <f>L101*K101</f>
        <v>0</v>
      </c>
    </row>
    <row r="102" ht="14" customHeight="1" spans="1:13">
      <c r="A102" s="13">
        <v>100</v>
      </c>
      <c r="B102" s="25">
        <v>105267</v>
      </c>
      <c r="C102" s="14" t="s">
        <v>12</v>
      </c>
      <c r="D102" s="26" t="s">
        <v>132</v>
      </c>
      <c r="E102" s="24" t="s">
        <v>133</v>
      </c>
      <c r="F102" s="15">
        <v>0.6613</v>
      </c>
      <c r="G102" s="16">
        <f>VLOOKUP(B:B,[2]查询门店会员消费占比!$B$1:$F$65536,5,0)</f>
        <v>1984</v>
      </c>
      <c r="H102" s="16">
        <f>G102*0.08</f>
        <v>158.72</v>
      </c>
      <c r="I102" s="32"/>
      <c r="J102" s="15">
        <v>0.6613</v>
      </c>
      <c r="K102" s="21"/>
      <c r="L102" s="19"/>
      <c r="M102" s="1">
        <f>L102*K102</f>
        <v>0</v>
      </c>
    </row>
    <row r="103" ht="14" customHeight="1" spans="1:13">
      <c r="A103" s="13">
        <v>101</v>
      </c>
      <c r="B103" s="25">
        <v>105396</v>
      </c>
      <c r="C103" s="14" t="s">
        <v>15</v>
      </c>
      <c r="D103" s="26" t="s">
        <v>134</v>
      </c>
      <c r="E103" s="24" t="s">
        <v>135</v>
      </c>
      <c r="F103" s="13"/>
      <c r="G103" s="16"/>
      <c r="H103" s="16"/>
      <c r="I103" s="32"/>
      <c r="J103" s="13"/>
      <c r="K103" s="21"/>
      <c r="L103" s="19"/>
      <c r="M103" s="1">
        <f>L103*K103</f>
        <v>0</v>
      </c>
    </row>
    <row r="104" ht="14" customHeight="1" spans="1:11">
      <c r="A104" s="13">
        <v>102</v>
      </c>
      <c r="B104" s="27">
        <v>105910</v>
      </c>
      <c r="C104" s="14" t="s">
        <v>15</v>
      </c>
      <c r="D104" s="26"/>
      <c r="E104" s="28" t="s">
        <v>136</v>
      </c>
      <c r="F104" s="13"/>
      <c r="G104" s="16"/>
      <c r="H104" s="16"/>
      <c r="I104" s="32"/>
      <c r="J104" s="13"/>
      <c r="K104" s="33"/>
    </row>
    <row r="105" ht="14" customHeight="1" spans="1:11">
      <c r="A105" s="13">
        <v>103</v>
      </c>
      <c r="B105" s="27">
        <v>105751</v>
      </c>
      <c r="C105" s="14" t="s">
        <v>15</v>
      </c>
      <c r="D105" s="26"/>
      <c r="E105" s="28" t="s">
        <v>137</v>
      </c>
      <c r="F105" s="13"/>
      <c r="G105" s="16"/>
      <c r="H105" s="16"/>
      <c r="I105" s="32"/>
      <c r="J105" s="13"/>
      <c r="K105" s="33"/>
    </row>
    <row r="106" ht="14" customHeight="1" spans="1:11">
      <c r="A106" s="13">
        <v>104</v>
      </c>
      <c r="B106" s="25">
        <v>106066</v>
      </c>
      <c r="C106" s="14" t="s">
        <v>55</v>
      </c>
      <c r="D106" s="26"/>
      <c r="E106" s="24" t="s">
        <v>138</v>
      </c>
      <c r="F106" s="13"/>
      <c r="G106" s="16"/>
      <c r="H106" s="16"/>
      <c r="I106" s="32"/>
      <c r="J106" s="13"/>
      <c r="K106" s="33"/>
    </row>
    <row r="107" spans="1:13">
      <c r="A107" s="25"/>
      <c r="B107" s="25"/>
      <c r="C107" s="14"/>
      <c r="D107" s="14"/>
      <c r="E107" s="29" t="s">
        <v>139</v>
      </c>
      <c r="F107" s="13"/>
      <c r="G107" s="16"/>
      <c r="H107" s="16">
        <f>SUM(H3:H103)</f>
        <v>22820.28</v>
      </c>
      <c r="I107" s="16">
        <f>SUM(I3:I103)</f>
        <v>18853</v>
      </c>
      <c r="J107" s="13"/>
      <c r="K107" s="34">
        <f>M107/L107</f>
        <v>0.722886483739202</v>
      </c>
      <c r="L107" s="1">
        <f>SUM(L3:L106)</f>
        <v>21667853.2</v>
      </c>
      <c r="M107" s="1">
        <f>SUM(M3:M106)</f>
        <v>15663398.2099252</v>
      </c>
    </row>
    <row r="110" spans="2:2">
      <c r="B110" s="30" t="s">
        <v>140</v>
      </c>
    </row>
    <row r="111" spans="2:2">
      <c r="B111" s="30" t="s">
        <v>141</v>
      </c>
    </row>
    <row r="112" spans="2:2">
      <c r="B112" s="30" t="s">
        <v>142</v>
      </c>
    </row>
    <row r="113" spans="2:2">
      <c r="B113" s="30" t="s">
        <v>143</v>
      </c>
    </row>
    <row r="114" spans="2:2">
      <c r="B114" s="30" t="s">
        <v>144</v>
      </c>
    </row>
    <row r="115" spans="2:2">
      <c r="B115" s="30" t="s">
        <v>145</v>
      </c>
    </row>
    <row r="116" spans="2:2">
      <c r="B116" s="31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会员发展任务及会员消费占比任务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2019-03-08T09:08:03Z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