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125"/>
  </bookViews>
  <sheets>
    <sheet name="任务明细表" sheetId="5" r:id="rId1"/>
    <sheet name="政策明细表" sheetId="4" r:id="rId2"/>
    <sheet name="品种明细" sheetId="6" r:id="rId3"/>
  </sheets>
  <externalReferences>
    <externalReference r:id="rId4"/>
    <externalReference r:id="rId5"/>
  </externalReferences>
  <definedNames>
    <definedName name="_xlnm._FilterDatabase" localSheetId="0" hidden="1">任务明细表!$A$2:$AA$113</definedName>
  </definedNames>
  <calcPr calcId="144525"/>
</workbook>
</file>

<file path=xl/sharedStrings.xml><?xml version="1.0" encoding="utf-8"?>
<sst xmlns="http://schemas.openxmlformats.org/spreadsheetml/2006/main" count="640" uniqueCount="212">
  <si>
    <t>工零会系列</t>
  </si>
  <si>
    <t>藏药系列</t>
  </si>
  <si>
    <t>序号</t>
  </si>
  <si>
    <t>门店ID</t>
  </si>
  <si>
    <t>门店名称</t>
  </si>
  <si>
    <t>门店类型</t>
  </si>
  <si>
    <t>片区</t>
  </si>
  <si>
    <t>挑战1</t>
  </si>
  <si>
    <t>挑战2</t>
  </si>
  <si>
    <t>挑战3</t>
  </si>
  <si>
    <t>铁笛片+苦金片</t>
  </si>
  <si>
    <t>康复新液</t>
  </si>
  <si>
    <t>复方嗜酸乳杆菌片118013</t>
  </si>
  <si>
    <t>复方嗜酸乳杆菌片179237</t>
  </si>
  <si>
    <t>合计</t>
  </si>
  <si>
    <t>完成情况</t>
  </si>
  <si>
    <t>完成档次</t>
  </si>
  <si>
    <t>奖励</t>
  </si>
  <si>
    <t>处罚</t>
  </si>
  <si>
    <t>实际销售</t>
  </si>
  <si>
    <t>合计奖励</t>
  </si>
  <si>
    <t>合计处罚</t>
  </si>
  <si>
    <t>大邑安仁店</t>
  </si>
  <si>
    <t>城郊1片</t>
  </si>
  <si>
    <t>大邑东壕店</t>
  </si>
  <si>
    <t>未完成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</si>
  <si>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</si>
  <si>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</si>
  <si>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</si>
  <si>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</si>
  <si>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</si>
  <si>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</si>
  <si>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</si>
  <si>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</si>
  <si>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</si>
  <si>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</si>
  <si>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</si>
  <si>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</si>
  <si>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</si>
  <si>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</si>
  <si>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</si>
  <si>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潘家街药店</t>
  </si>
  <si>
    <t>城郊一片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</si>
  <si>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</si>
  <si>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</si>
  <si>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</si>
  <si>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</si>
  <si>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</si>
  <si>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</si>
  <si>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</si>
  <si>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</si>
  <si>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</si>
  <si>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</si>
  <si>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</si>
  <si>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</si>
  <si>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</si>
  <si>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</si>
  <si>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江安路店</t>
  </si>
  <si>
    <r>
      <rPr>
        <sz val="9"/>
        <rFont val="宋体"/>
        <charset val="0"/>
      </rPr>
      <t>永康东路药店</t>
    </r>
    <r>
      <rPr>
        <sz val="9"/>
        <rFont val="Arial"/>
        <charset val="0"/>
      </rPr>
      <t xml:space="preserve"> </t>
    </r>
  </si>
  <si>
    <t>蜀州中路药店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</si>
  <si>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</si>
  <si>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</si>
  <si>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</si>
  <si>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</si>
  <si>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</si>
  <si>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</si>
  <si>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</si>
  <si>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</si>
  <si>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</si>
  <si>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</si>
  <si>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</si>
  <si>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</si>
  <si>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</si>
  <si>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</si>
  <si>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</si>
  <si>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</si>
  <si>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</si>
  <si>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</si>
  <si>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</si>
  <si>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浆洗街药店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</si>
  <si>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</si>
  <si>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</si>
  <si>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</si>
  <si>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</si>
  <si>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</si>
  <si>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</si>
  <si>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</si>
  <si>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</si>
  <si>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</si>
  <si>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</si>
  <si>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</si>
  <si>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</si>
  <si>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</si>
  <si>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</si>
  <si>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</si>
  <si>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</si>
  <si>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</si>
  <si>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</si>
  <si>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</si>
  <si>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</si>
  <si>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中和大道药店</t>
  </si>
  <si>
    <t>航中街</t>
  </si>
  <si>
    <t>四川太极高新区新下街药店</t>
  </si>
  <si>
    <t>四川太极高新区紫薇东路药店</t>
  </si>
  <si>
    <t>旗舰店</t>
  </si>
  <si>
    <t>旗舰片区</t>
  </si>
  <si>
    <t>四川太极锦江区梨花街药店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</si>
  <si>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</si>
  <si>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</si>
  <si>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</si>
  <si>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</si>
  <si>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</si>
  <si>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</si>
  <si>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</si>
  <si>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</si>
  <si>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</si>
  <si>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</si>
  <si>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</si>
  <si>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</si>
  <si>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</si>
  <si>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</si>
  <si>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</si>
  <si>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</si>
  <si>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</si>
  <si>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</si>
  <si>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</si>
  <si>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</si>
  <si>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</si>
  <si>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</si>
  <si>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</si>
  <si>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</si>
  <si>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</si>
  <si>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大华街药店</t>
  </si>
  <si>
    <t>蜀汉路店</t>
  </si>
  <si>
    <t>2019年2月重点品种（一）政策明细表</t>
  </si>
  <si>
    <t>任务标准（1.26-2.25）</t>
  </si>
  <si>
    <t>门店奖励标准</t>
  </si>
  <si>
    <t>品类</t>
  </si>
  <si>
    <t>货品ID</t>
  </si>
  <si>
    <t>货品名</t>
  </si>
  <si>
    <t>规格</t>
  </si>
  <si>
    <t>产地</t>
  </si>
  <si>
    <t>单位</t>
  </si>
  <si>
    <t>零售价</t>
  </si>
  <si>
    <t xml:space="preserve">挑战2 </t>
  </si>
  <si>
    <t xml:space="preserve">挑战1 </t>
  </si>
  <si>
    <t>备注</t>
  </si>
  <si>
    <t>级别</t>
  </si>
  <si>
    <t>工零会品种</t>
  </si>
  <si>
    <t>铁笛片</t>
  </si>
  <si>
    <t>1gx24片</t>
  </si>
  <si>
    <t>成都新希臣药业有限责任公司(原：成都希臣药业)</t>
  </si>
  <si>
    <t>盒</t>
  </si>
  <si>
    <t xml:space="preserve">完成1-3档任意一档则按对应该档奖励方案提成。未完成挑战1的门店按差额的按3%进行处罚，未完成挑战1保底提成3%。                                                                    </t>
  </si>
  <si>
    <t>高</t>
  </si>
  <si>
    <t>苦金片</t>
  </si>
  <si>
    <t>12s</t>
  </si>
  <si>
    <t>青岛国风</t>
  </si>
  <si>
    <t>50mlx2瓶</t>
  </si>
  <si>
    <t>四川好医生攀西药业有限责任公司</t>
  </si>
  <si>
    <t>复方嗜酸乳杆菌片</t>
  </si>
  <si>
    <t>0.5gx12片</t>
  </si>
  <si>
    <t>通化金马药业</t>
  </si>
  <si>
    <t>0.5g*6片*5板</t>
  </si>
  <si>
    <t xml:space="preserve">完成1-3档任意一档则按对应该档奖励方案提成。未完成挑战1任务按差额的5%进行处罚，未完成挑战1保底提成15%                                                             </t>
  </si>
  <si>
    <t>总经理：</t>
  </si>
  <si>
    <t>营运部：</t>
  </si>
  <si>
    <t>制表人：刘美玲</t>
  </si>
  <si>
    <t>,</t>
  </si>
  <si>
    <r>
      <rPr>
        <sz val="10"/>
        <color rgb="FFFF0000"/>
        <rFont val="Arial"/>
        <charset val="0"/>
      </rPr>
      <t>1gx24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</si>
  <si>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成都新希臣药业有限责任公司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原：成都希臣药业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</si>
  <si>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50mlx2</t>
    </r>
    <r>
      <rPr>
        <sz val="10"/>
        <color rgb="FFFF0000"/>
        <rFont val="宋体"/>
        <charset val="134"/>
      </rPr>
      <t>瓶</t>
    </r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</si>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</sst>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1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6"/>
      <name val="宋体"/>
      <charset val="134"/>
    </font>
    <font>
      <b/>
      <sz val="10"/>
      <color rgb="FFFF0000"/>
      <name val="宋体"/>
      <charset val="134"/>
    </font>
    <font>
      <b/>
      <sz val="10"/>
      <name val="Arial"/>
      <charset val="0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8" fillId="17" borderId="15" applyNumberFormat="0" applyAlignment="0" applyProtection="0">
      <alignment vertical="center"/>
    </xf>
    <xf numFmtId="0" fontId="30" fillId="17" borderId="9" applyNumberFormat="0" applyAlignment="0" applyProtection="0">
      <alignment vertical="center"/>
    </xf>
    <xf numFmtId="0" fontId="32" fillId="18" borderId="1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1" fillId="0" borderId="1" xfId="48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2" fillId="0" borderId="5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48" applyFont="1" applyFill="1" applyBorder="1" applyAlignment="1">
      <alignment horizontal="center" vertical="top"/>
    </xf>
    <xf numFmtId="0" fontId="16" fillId="0" borderId="1" xfId="48" applyFont="1" applyFill="1" applyBorder="1" applyAlignment="1">
      <alignment horizontal="center" vertical="center"/>
    </xf>
    <xf numFmtId="176" fontId="11" fillId="0" borderId="1" xfId="48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top"/>
    </xf>
    <xf numFmtId="0" fontId="16" fillId="0" borderId="1" xfId="50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 vertical="top"/>
    </xf>
    <xf numFmtId="0" fontId="16" fillId="0" borderId="1" xfId="52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19" fillId="0" borderId="1" xfId="48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top"/>
    </xf>
    <xf numFmtId="0" fontId="13" fillId="0" borderId="1" xfId="54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176" fontId="11" fillId="0" borderId="1" xfId="0" applyNumberFormat="1" applyFont="1" applyFill="1" applyBorder="1" applyAlignment="1">
      <alignment horizontal="center" vertical="top"/>
    </xf>
    <xf numFmtId="176" fontId="2" fillId="0" borderId="1" xfId="0" applyNumberFormat="1" applyFont="1" applyFill="1" applyBorder="1" applyAlignment="1">
      <alignment horizontal="center" vertical="top"/>
    </xf>
    <xf numFmtId="176" fontId="15" fillId="0" borderId="1" xfId="52" applyNumberFormat="1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top"/>
    </xf>
    <xf numFmtId="0" fontId="1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2" fillId="0" borderId="1" xfId="53" applyNumberFormat="1" applyFont="1" applyFill="1" applyBorder="1" applyAlignment="1">
      <alignment horizontal="center" vertical="top"/>
    </xf>
    <xf numFmtId="176" fontId="15" fillId="0" borderId="1" xfId="51" applyNumberFormat="1" applyFont="1" applyFill="1" applyBorder="1" applyAlignment="1">
      <alignment horizontal="center" vertical="top"/>
    </xf>
    <xf numFmtId="176" fontId="0" fillId="0" borderId="1" xfId="0" applyNumberForma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3" xfId="50"/>
    <cellStyle name="百分比 10 2" xfId="51"/>
    <cellStyle name="常规 17" xfId="52"/>
    <cellStyle name="常规 20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&#20998;&#31867;&#35843;&#25972;2018.6&#260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4255;&#33647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 refreshError="1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 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 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 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 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 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 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 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 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 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1203.5</v>
          </cell>
        </row>
        <row r="6">
          <cell r="A6">
            <v>54</v>
          </cell>
          <cell r="B6">
            <v>2232</v>
          </cell>
        </row>
        <row r="7">
          <cell r="A7">
            <v>56</v>
          </cell>
          <cell r="B7">
            <v>3617.27</v>
          </cell>
        </row>
        <row r="8">
          <cell r="A8">
            <v>307</v>
          </cell>
          <cell r="B8">
            <v>18549.2</v>
          </cell>
        </row>
        <row r="9">
          <cell r="A9">
            <v>308</v>
          </cell>
          <cell r="B9">
            <v>711.5</v>
          </cell>
        </row>
        <row r="10">
          <cell r="A10">
            <v>311</v>
          </cell>
          <cell r="B10">
            <v>742</v>
          </cell>
        </row>
        <row r="11">
          <cell r="A11">
            <v>329</v>
          </cell>
          <cell r="B11">
            <v>1722.02</v>
          </cell>
        </row>
        <row r="12">
          <cell r="A12">
            <v>337</v>
          </cell>
          <cell r="B12">
            <v>13751.31</v>
          </cell>
        </row>
        <row r="13">
          <cell r="A13">
            <v>339</v>
          </cell>
          <cell r="B13">
            <v>1020</v>
          </cell>
        </row>
        <row r="14">
          <cell r="A14">
            <v>341</v>
          </cell>
          <cell r="B14">
            <v>2082.7</v>
          </cell>
        </row>
        <row r="15">
          <cell r="A15">
            <v>343</v>
          </cell>
          <cell r="B15">
            <v>2704.8</v>
          </cell>
        </row>
        <row r="16">
          <cell r="A16">
            <v>347</v>
          </cell>
          <cell r="B16">
            <v>1131.32</v>
          </cell>
        </row>
        <row r="17">
          <cell r="A17">
            <v>349</v>
          </cell>
          <cell r="B17">
            <v>2839.02</v>
          </cell>
        </row>
        <row r="18">
          <cell r="A18">
            <v>351</v>
          </cell>
          <cell r="B18">
            <v>1172.89</v>
          </cell>
        </row>
        <row r="19">
          <cell r="A19">
            <v>355</v>
          </cell>
          <cell r="B19">
            <v>1286.5</v>
          </cell>
        </row>
        <row r="20">
          <cell r="A20">
            <v>357</v>
          </cell>
          <cell r="B20">
            <v>8855.9</v>
          </cell>
        </row>
        <row r="21">
          <cell r="A21">
            <v>359</v>
          </cell>
          <cell r="B21">
            <v>1570.44</v>
          </cell>
        </row>
        <row r="22">
          <cell r="A22">
            <v>365</v>
          </cell>
          <cell r="B22">
            <v>6898.82</v>
          </cell>
        </row>
        <row r="23">
          <cell r="A23">
            <v>367</v>
          </cell>
          <cell r="B23">
            <v>1403.94</v>
          </cell>
        </row>
        <row r="24">
          <cell r="A24">
            <v>371</v>
          </cell>
          <cell r="B24">
            <v>416</v>
          </cell>
        </row>
        <row r="25">
          <cell r="A25">
            <v>373</v>
          </cell>
          <cell r="B25">
            <v>266</v>
          </cell>
        </row>
        <row r="26">
          <cell r="A26">
            <v>377</v>
          </cell>
          <cell r="B26">
            <v>563.5</v>
          </cell>
        </row>
        <row r="27">
          <cell r="A27">
            <v>379</v>
          </cell>
          <cell r="B27">
            <v>1122.36</v>
          </cell>
        </row>
        <row r="28">
          <cell r="A28">
            <v>385</v>
          </cell>
          <cell r="B28">
            <v>353</v>
          </cell>
        </row>
        <row r="29">
          <cell r="A29">
            <v>387</v>
          </cell>
          <cell r="B29">
            <v>451.5</v>
          </cell>
        </row>
        <row r="30">
          <cell r="A30">
            <v>391</v>
          </cell>
          <cell r="B30">
            <v>928.5</v>
          </cell>
        </row>
        <row r="31">
          <cell r="A31">
            <v>399</v>
          </cell>
          <cell r="B31">
            <v>144</v>
          </cell>
        </row>
        <row r="32">
          <cell r="A32">
            <v>511</v>
          </cell>
          <cell r="B32">
            <v>993.25</v>
          </cell>
        </row>
        <row r="33">
          <cell r="A33">
            <v>513</v>
          </cell>
          <cell r="B33">
            <v>708.5</v>
          </cell>
        </row>
        <row r="34">
          <cell r="A34">
            <v>514</v>
          </cell>
          <cell r="B34">
            <v>3806.31</v>
          </cell>
        </row>
        <row r="35">
          <cell r="A35">
            <v>515</v>
          </cell>
          <cell r="B35">
            <v>2426</v>
          </cell>
        </row>
        <row r="36">
          <cell r="A36">
            <v>517</v>
          </cell>
          <cell r="B36">
            <v>1348.5</v>
          </cell>
        </row>
        <row r="37">
          <cell r="A37">
            <v>539</v>
          </cell>
          <cell r="B37">
            <v>1666.36</v>
          </cell>
        </row>
        <row r="38">
          <cell r="A38">
            <v>545</v>
          </cell>
          <cell r="B38">
            <v>2763.66</v>
          </cell>
        </row>
        <row r="39">
          <cell r="A39">
            <v>546</v>
          </cell>
          <cell r="B39">
            <v>3471.93</v>
          </cell>
        </row>
        <row r="40">
          <cell r="A40">
            <v>549</v>
          </cell>
          <cell r="B40">
            <v>720.5</v>
          </cell>
        </row>
        <row r="41">
          <cell r="A41">
            <v>570</v>
          </cell>
          <cell r="B41">
            <v>750.57</v>
          </cell>
        </row>
        <row r="42">
          <cell r="A42">
            <v>571</v>
          </cell>
          <cell r="B42">
            <v>604.5</v>
          </cell>
        </row>
        <row r="43">
          <cell r="A43">
            <v>572</v>
          </cell>
          <cell r="B43">
            <v>4214.5</v>
          </cell>
        </row>
        <row r="44">
          <cell r="A44">
            <v>573</v>
          </cell>
          <cell r="B44">
            <v>252</v>
          </cell>
        </row>
        <row r="45">
          <cell r="A45">
            <v>578</v>
          </cell>
          <cell r="B45">
            <v>182.5</v>
          </cell>
        </row>
        <row r="46">
          <cell r="A46">
            <v>581</v>
          </cell>
          <cell r="B46">
            <v>1811.5</v>
          </cell>
        </row>
        <row r="47">
          <cell r="A47">
            <v>582</v>
          </cell>
          <cell r="B47">
            <v>7068.21</v>
          </cell>
        </row>
        <row r="48">
          <cell r="A48">
            <v>584</v>
          </cell>
          <cell r="B48">
            <v>444</v>
          </cell>
        </row>
        <row r="49">
          <cell r="A49">
            <v>585</v>
          </cell>
          <cell r="B49">
            <v>3511.69</v>
          </cell>
        </row>
        <row r="50">
          <cell r="A50">
            <v>587</v>
          </cell>
          <cell r="B50">
            <v>856.5</v>
          </cell>
        </row>
        <row r="51">
          <cell r="A51">
            <v>591</v>
          </cell>
          <cell r="B51">
            <v>2073.75</v>
          </cell>
        </row>
        <row r="52">
          <cell r="A52">
            <v>594</v>
          </cell>
          <cell r="B52">
            <v>1558.76</v>
          </cell>
        </row>
        <row r="53">
          <cell r="A53">
            <v>598</v>
          </cell>
          <cell r="B53">
            <v>2082.5</v>
          </cell>
        </row>
        <row r="54">
          <cell r="A54">
            <v>704</v>
          </cell>
          <cell r="B54">
            <v>1466.85</v>
          </cell>
        </row>
        <row r="55">
          <cell r="A55">
            <v>706</v>
          </cell>
          <cell r="B55">
            <v>62.5</v>
          </cell>
        </row>
        <row r="56">
          <cell r="A56">
            <v>707</v>
          </cell>
          <cell r="B56">
            <v>733.5</v>
          </cell>
        </row>
        <row r="57">
          <cell r="A57">
            <v>709</v>
          </cell>
          <cell r="B57">
            <v>1853.46</v>
          </cell>
        </row>
        <row r="58">
          <cell r="A58">
            <v>710</v>
          </cell>
          <cell r="B58">
            <v>123</v>
          </cell>
        </row>
        <row r="59">
          <cell r="A59">
            <v>712</v>
          </cell>
          <cell r="B59">
            <v>8810.89</v>
          </cell>
        </row>
        <row r="60">
          <cell r="A60">
            <v>713</v>
          </cell>
          <cell r="B60">
            <v>731.22</v>
          </cell>
        </row>
        <row r="61">
          <cell r="A61">
            <v>716</v>
          </cell>
          <cell r="B61">
            <v>1152.5</v>
          </cell>
        </row>
        <row r="62">
          <cell r="A62">
            <v>717</v>
          </cell>
          <cell r="B62">
            <v>572</v>
          </cell>
        </row>
        <row r="63">
          <cell r="A63">
            <v>718</v>
          </cell>
          <cell r="B63">
            <v>30.5</v>
          </cell>
        </row>
        <row r="64">
          <cell r="A64">
            <v>720</v>
          </cell>
          <cell r="B64">
            <v>582.5</v>
          </cell>
        </row>
        <row r="65">
          <cell r="A65">
            <v>721</v>
          </cell>
          <cell r="B65">
            <v>2208.14</v>
          </cell>
        </row>
        <row r="66">
          <cell r="A66">
            <v>723</v>
          </cell>
          <cell r="B66">
            <v>763.5</v>
          </cell>
        </row>
        <row r="67">
          <cell r="A67">
            <v>724</v>
          </cell>
          <cell r="B67">
            <v>567</v>
          </cell>
        </row>
        <row r="68">
          <cell r="A68">
            <v>726</v>
          </cell>
          <cell r="B68">
            <v>2573.24</v>
          </cell>
        </row>
        <row r="69">
          <cell r="A69">
            <v>727</v>
          </cell>
          <cell r="B69">
            <v>452.15</v>
          </cell>
        </row>
        <row r="70">
          <cell r="A70">
            <v>730</v>
          </cell>
          <cell r="B70">
            <v>3818.17</v>
          </cell>
        </row>
        <row r="71">
          <cell r="A71">
            <v>732</v>
          </cell>
          <cell r="B71">
            <v>329.68</v>
          </cell>
        </row>
        <row r="72">
          <cell r="A72">
            <v>733</v>
          </cell>
          <cell r="B72">
            <v>200</v>
          </cell>
        </row>
        <row r="73">
          <cell r="A73">
            <v>737</v>
          </cell>
          <cell r="B73">
            <v>2276.37</v>
          </cell>
        </row>
        <row r="74">
          <cell r="A74">
            <v>738</v>
          </cell>
          <cell r="B74">
            <v>1343.05</v>
          </cell>
        </row>
        <row r="75">
          <cell r="A75">
            <v>740</v>
          </cell>
          <cell r="B75">
            <v>1422.37</v>
          </cell>
        </row>
        <row r="76">
          <cell r="A76">
            <v>741</v>
          </cell>
          <cell r="B76">
            <v>165</v>
          </cell>
        </row>
        <row r="77">
          <cell r="A77">
            <v>742</v>
          </cell>
          <cell r="B77">
            <v>812</v>
          </cell>
        </row>
        <row r="78">
          <cell r="A78">
            <v>743</v>
          </cell>
          <cell r="B78">
            <v>190</v>
          </cell>
        </row>
        <row r="79">
          <cell r="A79">
            <v>744</v>
          </cell>
          <cell r="B79">
            <v>168</v>
          </cell>
        </row>
        <row r="80">
          <cell r="A80">
            <v>745</v>
          </cell>
          <cell r="B80">
            <v>888</v>
          </cell>
        </row>
        <row r="81">
          <cell r="A81">
            <v>746</v>
          </cell>
          <cell r="B81">
            <v>1534.21</v>
          </cell>
        </row>
        <row r="82">
          <cell r="A82">
            <v>747</v>
          </cell>
          <cell r="B82">
            <v>1554.45</v>
          </cell>
        </row>
        <row r="83">
          <cell r="A83">
            <v>748</v>
          </cell>
          <cell r="B83">
            <v>1585.5</v>
          </cell>
        </row>
        <row r="84">
          <cell r="A84">
            <v>750</v>
          </cell>
          <cell r="B84">
            <v>6584.74</v>
          </cell>
        </row>
        <row r="85">
          <cell r="A85">
            <v>752</v>
          </cell>
          <cell r="B85">
            <v>849</v>
          </cell>
        </row>
        <row r="86">
          <cell r="A86">
            <v>753</v>
          </cell>
          <cell r="B86">
            <v>258</v>
          </cell>
        </row>
        <row r="87">
          <cell r="A87">
            <v>754</v>
          </cell>
          <cell r="B87">
            <v>2275.67</v>
          </cell>
        </row>
        <row r="88">
          <cell r="A88">
            <v>101453</v>
          </cell>
          <cell r="B88">
            <v>891.5</v>
          </cell>
        </row>
        <row r="89">
          <cell r="A89">
            <v>102478</v>
          </cell>
          <cell r="B89">
            <v>65.5</v>
          </cell>
        </row>
        <row r="90">
          <cell r="A90">
            <v>102479</v>
          </cell>
          <cell r="B90">
            <v>288.75</v>
          </cell>
        </row>
        <row r="91">
          <cell r="A91">
            <v>102564</v>
          </cell>
          <cell r="B91">
            <v>546.5</v>
          </cell>
        </row>
        <row r="92">
          <cell r="A92">
            <v>102565</v>
          </cell>
          <cell r="B92">
            <v>966.36</v>
          </cell>
        </row>
        <row r="93">
          <cell r="A93">
            <v>102567</v>
          </cell>
          <cell r="B93">
            <v>272</v>
          </cell>
        </row>
        <row r="94">
          <cell r="A94">
            <v>102934</v>
          </cell>
          <cell r="B94">
            <v>2135.48</v>
          </cell>
        </row>
        <row r="95">
          <cell r="A95">
            <v>102935</v>
          </cell>
          <cell r="B95">
            <v>1037.7</v>
          </cell>
        </row>
        <row r="96">
          <cell r="A96">
            <v>103198</v>
          </cell>
          <cell r="B96">
            <v>587</v>
          </cell>
        </row>
        <row r="97">
          <cell r="A97">
            <v>103199</v>
          </cell>
          <cell r="B97">
            <v>904.43</v>
          </cell>
        </row>
        <row r="98">
          <cell r="A98">
            <v>103639</v>
          </cell>
          <cell r="B98">
            <v>3569.24</v>
          </cell>
        </row>
        <row r="99">
          <cell r="A99">
            <v>104428</v>
          </cell>
          <cell r="B99">
            <v>1305.26</v>
          </cell>
        </row>
        <row r="100">
          <cell r="A100">
            <v>104429</v>
          </cell>
          <cell r="B100">
            <v>208</v>
          </cell>
        </row>
        <row r="101">
          <cell r="A101">
            <v>104430</v>
          </cell>
          <cell r="B101">
            <v>149.32</v>
          </cell>
        </row>
        <row r="102">
          <cell r="A102">
            <v>104533</v>
          </cell>
          <cell r="B102">
            <v>307.5</v>
          </cell>
        </row>
        <row r="103">
          <cell r="A103">
            <v>104838</v>
          </cell>
          <cell r="B103">
            <v>275</v>
          </cell>
        </row>
        <row r="104">
          <cell r="A104">
            <v>105267</v>
          </cell>
          <cell r="B104">
            <v>442.93</v>
          </cell>
        </row>
        <row r="105">
          <cell r="A105">
            <v>105396</v>
          </cell>
          <cell r="B105">
            <v>944.73</v>
          </cell>
        </row>
        <row r="106">
          <cell r="A106">
            <v>105751</v>
          </cell>
          <cell r="B106">
            <v>190.5</v>
          </cell>
        </row>
        <row r="107">
          <cell r="A107">
            <v>106066</v>
          </cell>
          <cell r="B107">
            <v>855</v>
          </cell>
        </row>
        <row r="108">
          <cell r="B108">
            <v>185935.84</v>
          </cell>
        </row>
        <row r="109">
          <cell r="A109" t="str">
            <v>总计</v>
          </cell>
          <cell r="B109">
            <v>371871.68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3"/>
  <sheetViews>
    <sheetView tabSelected="1" topLeftCell="I1" workbookViewId="0">
      <selection activeCell="Y106" sqref="Y106"/>
    </sheetView>
  </sheetViews>
  <sheetFormatPr defaultColWidth="9" defaultRowHeight="14.25"/>
  <cols>
    <col min="1" max="1" width="4.375" style="57" customWidth="1"/>
    <col min="2" max="2" width="7.25" style="57" customWidth="1"/>
    <col min="3" max="3" width="12.625" style="58" customWidth="1"/>
    <col min="4" max="4" width="8.125" style="59" hidden="1" customWidth="1"/>
    <col min="5" max="5" width="8.75" style="57" customWidth="1"/>
    <col min="6" max="8" width="7" style="57" customWidth="1"/>
    <col min="9" max="15" width="7.375" style="57" customWidth="1"/>
    <col min="16" max="16" width="7.5" style="57" customWidth="1"/>
    <col min="17" max="17" width="7.75" style="57" customWidth="1"/>
    <col min="18" max="20" width="8.125" style="57" customWidth="1"/>
    <col min="21" max="23" width="8.125" style="2" customWidth="1"/>
    <col min="24" max="25" width="9" style="21" customWidth="1"/>
    <col min="26" max="27" width="9" style="3"/>
    <col min="28" max="16384" width="9" style="5"/>
  </cols>
  <sheetData>
    <row r="1" ht="30" customHeight="1" spans="1:27">
      <c r="A1" s="26"/>
      <c r="B1" s="26"/>
      <c r="C1" s="60"/>
      <c r="D1" s="26"/>
      <c r="E1" s="26"/>
      <c r="F1" s="61" t="s">
        <v>0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85"/>
      <c r="R1" s="86" t="s">
        <v>1</v>
      </c>
      <c r="S1" s="87"/>
      <c r="T1" s="87"/>
      <c r="U1" s="87"/>
      <c r="V1" s="87"/>
      <c r="W1" s="87"/>
      <c r="X1" s="87"/>
      <c r="Y1" s="97"/>
      <c r="Z1" s="98"/>
      <c r="AA1" s="99"/>
    </row>
    <row r="2" ht="33.75" spans="1:27">
      <c r="A2" s="6" t="s">
        <v>2</v>
      </c>
      <c r="B2" s="6" t="s">
        <v>3</v>
      </c>
      <c r="C2" s="63" t="s">
        <v>4</v>
      </c>
      <c r="D2" s="6" t="s">
        <v>5</v>
      </c>
      <c r="E2" s="6" t="s">
        <v>6</v>
      </c>
      <c r="F2" s="64" t="s">
        <v>7</v>
      </c>
      <c r="G2" s="65" t="s">
        <v>8</v>
      </c>
      <c r="H2" s="65" t="s">
        <v>9</v>
      </c>
      <c r="I2" s="65" t="s">
        <v>10</v>
      </c>
      <c r="J2" s="65" t="s">
        <v>11</v>
      </c>
      <c r="K2" s="84" t="s">
        <v>12</v>
      </c>
      <c r="L2" s="84" t="s">
        <v>13</v>
      </c>
      <c r="M2" s="65" t="s">
        <v>14</v>
      </c>
      <c r="N2" s="65" t="s">
        <v>15</v>
      </c>
      <c r="O2" s="65" t="s">
        <v>16</v>
      </c>
      <c r="P2" s="65" t="s">
        <v>17</v>
      </c>
      <c r="Q2" s="65" t="s">
        <v>18</v>
      </c>
      <c r="R2" s="88" t="s">
        <v>7</v>
      </c>
      <c r="S2" s="88" t="s">
        <v>8</v>
      </c>
      <c r="T2" s="88" t="s">
        <v>9</v>
      </c>
      <c r="U2" s="89" t="s">
        <v>19</v>
      </c>
      <c r="V2" s="89" t="s">
        <v>15</v>
      </c>
      <c r="W2" s="89" t="s">
        <v>16</v>
      </c>
      <c r="X2" s="89" t="s">
        <v>17</v>
      </c>
      <c r="Y2" s="89" t="s">
        <v>18</v>
      </c>
      <c r="Z2" s="32" t="s">
        <v>20</v>
      </c>
      <c r="AA2" s="32" t="s">
        <v>21</v>
      </c>
    </row>
    <row r="3" spans="1:27">
      <c r="A3" s="66">
        <v>1</v>
      </c>
      <c r="B3" s="66">
        <v>594</v>
      </c>
      <c r="C3" s="67" t="s">
        <v>22</v>
      </c>
      <c r="D3" s="66" t="str">
        <f>VLOOKUP(B:B,[1]查询时间段分门店销售汇总!$B:$F,5,0)</f>
        <v>C2</v>
      </c>
      <c r="E3" s="66" t="s">
        <v>23</v>
      </c>
      <c r="F3" s="66">
        <f>ROUND(H3*0.8,0)</f>
        <v>269</v>
      </c>
      <c r="G3" s="68">
        <v>302</v>
      </c>
      <c r="H3" s="68">
        <v>336</v>
      </c>
      <c r="I3" s="68">
        <v>218.1</v>
      </c>
      <c r="J3" s="68">
        <v>78.8</v>
      </c>
      <c r="K3" s="68">
        <v>60</v>
      </c>
      <c r="L3" s="68">
        <v>136</v>
      </c>
      <c r="M3" s="68">
        <f>L3+K3+J3+I3</f>
        <v>492.9</v>
      </c>
      <c r="N3" s="68">
        <f>M3-F3</f>
        <v>223.9</v>
      </c>
      <c r="O3" s="68" t="s">
        <v>9</v>
      </c>
      <c r="P3" s="68">
        <f>I3*0.09+J3*0.05+K3*0.06+L3*0.04</f>
        <v>32.609</v>
      </c>
      <c r="Q3" s="68"/>
      <c r="R3" s="66">
        <f>ROUND(T3*0.8,0)</f>
        <v>734</v>
      </c>
      <c r="S3" s="68">
        <v>825</v>
      </c>
      <c r="T3" s="68">
        <v>917</v>
      </c>
      <c r="U3" s="32">
        <f>VLOOKUP(B:B,[2]Sheet1!$A$1:$B$65536,2,0)</f>
        <v>1558.76</v>
      </c>
      <c r="V3" s="32">
        <f>U3-R3</f>
        <v>824.76</v>
      </c>
      <c r="W3" s="32" t="s">
        <v>9</v>
      </c>
      <c r="X3" s="90">
        <f>U3*0.25</f>
        <v>389.69</v>
      </c>
      <c r="Y3" s="90"/>
      <c r="Z3" s="32">
        <f>ROUND(P3+X3,0)</f>
        <v>422</v>
      </c>
      <c r="AA3" s="32">
        <f>ROUND(Q3+Y3,0)</f>
        <v>0</v>
      </c>
    </row>
    <row r="4" spans="1:27">
      <c r="A4" s="66">
        <v>2</v>
      </c>
      <c r="B4" s="69">
        <v>549</v>
      </c>
      <c r="C4" s="70" t="s">
        <v>24</v>
      </c>
      <c r="D4" s="66" t="str">
        <f>VLOOKUP(B:B,[1]查询时间段分门店销售汇总!$B:$F,5,0)</f>
        <v>C1</v>
      </c>
      <c r="E4" s="69" t="s">
        <v>23</v>
      </c>
      <c r="F4" s="66">
        <f t="shared" ref="F4:F35" si="0">ROUND(H4*0.8,0)</f>
        <v>266</v>
      </c>
      <c r="G4" s="68">
        <v>299</v>
      </c>
      <c r="H4" s="68">
        <v>332</v>
      </c>
      <c r="I4" s="68">
        <v>597.4</v>
      </c>
      <c r="J4" s="68">
        <v>153.58</v>
      </c>
      <c r="K4" s="68"/>
      <c r="L4" s="68">
        <v>264</v>
      </c>
      <c r="M4" s="68">
        <f t="shared" ref="M4:M35" si="1">L4+K4+J4+I4</f>
        <v>1014.98</v>
      </c>
      <c r="N4" s="68">
        <f t="shared" ref="N4:N35" si="2">M4-F4</f>
        <v>748.98</v>
      </c>
      <c r="O4" s="68" t="s">
        <v>9</v>
      </c>
      <c r="P4" s="68">
        <f t="shared" ref="P4:P13" si="3">I4*0.09+J4*0.05+K4*0.06+L4*0.04</f>
        <v>72.005</v>
      </c>
      <c r="Q4" s="68"/>
      <c r="R4" s="66">
        <f t="shared" ref="R4:R35" si="4">ROUND(T4*0.8,0)</f>
        <v>794</v>
      </c>
      <c r="S4" s="68">
        <v>894</v>
      </c>
      <c r="T4" s="91">
        <v>993</v>
      </c>
      <c r="U4" s="32">
        <f>VLOOKUP(B:B,[2]Sheet1!$A$1:$B$65536,2,0)</f>
        <v>720.5</v>
      </c>
      <c r="V4" s="32">
        <f t="shared" ref="V4:V35" si="5">U4-R4</f>
        <v>-73.5</v>
      </c>
      <c r="W4" s="32" t="s">
        <v>25</v>
      </c>
      <c r="X4" s="90">
        <f>U4*0.15</f>
        <v>108.075</v>
      </c>
      <c r="Y4" s="90">
        <f>V4*0.05</f>
        <v>-3.675</v>
      </c>
      <c r="Z4" s="32">
        <f t="shared" ref="Z4:Z35" si="6">ROUND(P4+X4,0)</f>
        <v>180</v>
      </c>
      <c r="AA4" s="32">
        <f t="shared" ref="AA4:AA35" si="7">ROUND(Q4+Y4,0)</f>
        <v>-4</v>
      </c>
    </row>
    <row r="5" spans="1:27">
      <c r="A5" s="66">
        <v>3</v>
      </c>
      <c r="B5" s="69">
        <v>746</v>
      </c>
      <c r="C5" s="70" t="s">
        <v>26</v>
      </c>
      <c r="D5" s="66" t="str">
        <f>VLOOKUP(B:B,[1]查询时间段分门店销售汇总!$B:$F,5,0)</f>
        <v>B2</v>
      </c>
      <c r="E5" s="69" t="s">
        <v>23</v>
      </c>
      <c r="F5" s="66">
        <f t="shared" si="0"/>
        <v>502</v>
      </c>
      <c r="G5" s="68">
        <v>565</v>
      </c>
      <c r="H5" s="68">
        <v>628</v>
      </c>
      <c r="I5" s="68">
        <v>842.35</v>
      </c>
      <c r="J5" s="68">
        <v>118.6</v>
      </c>
      <c r="K5" s="68">
        <v>71.64</v>
      </c>
      <c r="L5" s="68">
        <v>66</v>
      </c>
      <c r="M5" s="68">
        <f t="shared" si="1"/>
        <v>1098.59</v>
      </c>
      <c r="N5" s="68">
        <f t="shared" si="2"/>
        <v>596.59</v>
      </c>
      <c r="O5" s="68" t="s">
        <v>9</v>
      </c>
      <c r="P5" s="68">
        <f t="shared" si="3"/>
        <v>88.6799</v>
      </c>
      <c r="Q5" s="68"/>
      <c r="R5" s="66">
        <f t="shared" si="4"/>
        <v>1315</v>
      </c>
      <c r="S5" s="68">
        <v>1480</v>
      </c>
      <c r="T5" s="91">
        <v>1644</v>
      </c>
      <c r="U5" s="32">
        <f>VLOOKUP(B:B,[2]Sheet1!$A$1:$B$65536,2,0)</f>
        <v>1534.21</v>
      </c>
      <c r="V5" s="32">
        <f t="shared" si="5"/>
        <v>219.21</v>
      </c>
      <c r="W5" s="32" t="s">
        <v>8</v>
      </c>
      <c r="X5" s="90">
        <f>U5*0.2</f>
        <v>306.842</v>
      </c>
      <c r="Y5" s="90"/>
      <c r="Z5" s="32">
        <f t="shared" si="6"/>
        <v>396</v>
      </c>
      <c r="AA5" s="32">
        <f t="shared" si="7"/>
        <v>0</v>
      </c>
    </row>
    <row r="6" spans="1:27">
      <c r="A6" s="66">
        <v>4</v>
      </c>
      <c r="B6" s="69">
        <v>716</v>
      </c>
      <c r="C6" s="70" t="s">
        <v>27</v>
      </c>
      <c r="D6" s="66" t="str">
        <f>VLOOKUP(B:B,[1]查询时间段分门店销售汇总!$B:$F,5,0)</f>
        <v>C1</v>
      </c>
      <c r="E6" s="69" t="s">
        <v>23</v>
      </c>
      <c r="F6" s="66">
        <f t="shared" si="0"/>
        <v>393</v>
      </c>
      <c r="G6" s="68">
        <v>442</v>
      </c>
      <c r="H6" s="68">
        <v>491</v>
      </c>
      <c r="I6" s="68">
        <v>509.58</v>
      </c>
      <c r="J6" s="68">
        <v>312.76</v>
      </c>
      <c r="K6" s="68">
        <v>146.42</v>
      </c>
      <c r="L6" s="68">
        <v>200</v>
      </c>
      <c r="M6" s="68">
        <f t="shared" si="1"/>
        <v>1168.76</v>
      </c>
      <c r="N6" s="68">
        <f t="shared" si="2"/>
        <v>775.76</v>
      </c>
      <c r="O6" s="68" t="s">
        <v>9</v>
      </c>
      <c r="P6" s="68">
        <f t="shared" si="3"/>
        <v>78.2854</v>
      </c>
      <c r="Q6" s="68"/>
      <c r="R6" s="66">
        <f t="shared" si="4"/>
        <v>901</v>
      </c>
      <c r="S6" s="68">
        <v>1013</v>
      </c>
      <c r="T6" s="91">
        <v>1126</v>
      </c>
      <c r="U6" s="32">
        <f>VLOOKUP(B:B,[2]Sheet1!$A$1:$B$65536,2,0)</f>
        <v>1152.5</v>
      </c>
      <c r="V6" s="32">
        <f t="shared" si="5"/>
        <v>251.5</v>
      </c>
      <c r="W6" s="32" t="s">
        <v>9</v>
      </c>
      <c r="X6" s="90">
        <f>U6*0.25</f>
        <v>288.125</v>
      </c>
      <c r="Y6" s="90"/>
      <c r="Z6" s="32">
        <f t="shared" si="6"/>
        <v>366</v>
      </c>
      <c r="AA6" s="32">
        <f t="shared" si="7"/>
        <v>0</v>
      </c>
    </row>
    <row r="7" spans="1:27">
      <c r="A7" s="66">
        <v>5</v>
      </c>
      <c r="B7" s="66">
        <v>717</v>
      </c>
      <c r="C7" s="67" t="s">
        <v>28</v>
      </c>
      <c r="D7" s="66" t="str">
        <f>VLOOKUP(B:B,[1]查询时间段分门店销售汇总!$B:$F,5,0)</f>
        <v>B2</v>
      </c>
      <c r="E7" s="66" t="s">
        <v>23</v>
      </c>
      <c r="F7" s="66">
        <f t="shared" si="0"/>
        <v>383</v>
      </c>
      <c r="G7" s="68">
        <v>431</v>
      </c>
      <c r="H7" s="68">
        <v>479</v>
      </c>
      <c r="I7" s="68">
        <v>901.76</v>
      </c>
      <c r="J7" s="68">
        <v>117.8</v>
      </c>
      <c r="K7" s="68">
        <v>303.49</v>
      </c>
      <c r="L7" s="68"/>
      <c r="M7" s="68">
        <f t="shared" si="1"/>
        <v>1323.05</v>
      </c>
      <c r="N7" s="68">
        <f t="shared" si="2"/>
        <v>940.05</v>
      </c>
      <c r="O7" s="68" t="s">
        <v>9</v>
      </c>
      <c r="P7" s="68">
        <f t="shared" si="3"/>
        <v>105.2578</v>
      </c>
      <c r="Q7" s="68"/>
      <c r="R7" s="66">
        <f t="shared" si="4"/>
        <v>1013</v>
      </c>
      <c r="S7" s="68">
        <v>1139</v>
      </c>
      <c r="T7" s="92">
        <v>1266</v>
      </c>
      <c r="U7" s="32">
        <f>VLOOKUP(B:B,[2]Sheet1!$A$1:$B$65536,2,0)</f>
        <v>572</v>
      </c>
      <c r="V7" s="32">
        <f t="shared" si="5"/>
        <v>-441</v>
      </c>
      <c r="W7" s="32" t="s">
        <v>25</v>
      </c>
      <c r="X7" s="90">
        <f>U7*0.15</f>
        <v>85.8</v>
      </c>
      <c r="Y7" s="90">
        <f>V7*0.05</f>
        <v>-22.05</v>
      </c>
      <c r="Z7" s="32">
        <f t="shared" si="6"/>
        <v>191</v>
      </c>
      <c r="AA7" s="32">
        <f t="shared" si="7"/>
        <v>-22</v>
      </c>
    </row>
    <row r="8" spans="1:27">
      <c r="A8" s="66">
        <v>6</v>
      </c>
      <c r="B8" s="69">
        <v>720</v>
      </c>
      <c r="C8" s="70" t="s">
        <v>29</v>
      </c>
      <c r="D8" s="66" t="str">
        <f>VLOOKUP(B:B,[1]查询时间段分门店销售汇总!$B:$F,5,0)</f>
        <v>C2</v>
      </c>
      <c r="E8" s="69" t="s">
        <v>23</v>
      </c>
      <c r="F8" s="66">
        <f t="shared" si="0"/>
        <v>251</v>
      </c>
      <c r="G8" s="68">
        <v>283</v>
      </c>
      <c r="H8" s="68">
        <v>314</v>
      </c>
      <c r="I8" s="68">
        <v>575.65</v>
      </c>
      <c r="J8" s="68">
        <v>151.75</v>
      </c>
      <c r="K8" s="68">
        <v>85.5</v>
      </c>
      <c r="L8" s="68"/>
      <c r="M8" s="68">
        <f t="shared" si="1"/>
        <v>812.9</v>
      </c>
      <c r="N8" s="68">
        <f t="shared" si="2"/>
        <v>561.9</v>
      </c>
      <c r="O8" s="68" t="s">
        <v>9</v>
      </c>
      <c r="P8" s="68">
        <f t="shared" si="3"/>
        <v>64.526</v>
      </c>
      <c r="Q8" s="68"/>
      <c r="R8" s="66">
        <f t="shared" si="4"/>
        <v>730</v>
      </c>
      <c r="S8" s="68">
        <v>821</v>
      </c>
      <c r="T8" s="91">
        <v>912</v>
      </c>
      <c r="U8" s="32">
        <f>VLOOKUP(B:B,[2]Sheet1!$A$1:$B$65536,2,0)</f>
        <v>582.5</v>
      </c>
      <c r="V8" s="32">
        <f t="shared" si="5"/>
        <v>-147.5</v>
      </c>
      <c r="W8" s="32" t="s">
        <v>25</v>
      </c>
      <c r="X8" s="90">
        <f>U8*0.15</f>
        <v>87.375</v>
      </c>
      <c r="Y8" s="90">
        <f>V8*0.05</f>
        <v>-7.375</v>
      </c>
      <c r="Z8" s="32">
        <f t="shared" si="6"/>
        <v>152</v>
      </c>
      <c r="AA8" s="32">
        <f t="shared" si="7"/>
        <v>-7</v>
      </c>
    </row>
    <row r="9" spans="1:27">
      <c r="A9" s="66">
        <v>7</v>
      </c>
      <c r="B9" s="69">
        <v>539</v>
      </c>
      <c r="C9" s="70" t="s">
        <v>30</v>
      </c>
      <c r="D9" s="66" t="str">
        <f>VLOOKUP(B:B,[1]查询时间段分门店销售汇总!$B:$F,5,0)</f>
        <v>C1</v>
      </c>
      <c r="E9" s="69" t="s">
        <v>23</v>
      </c>
      <c r="F9" s="66">
        <f t="shared" si="0"/>
        <v>276</v>
      </c>
      <c r="G9" s="68">
        <v>311</v>
      </c>
      <c r="H9" s="68">
        <v>345</v>
      </c>
      <c r="I9" s="68">
        <v>355.1</v>
      </c>
      <c r="J9" s="68">
        <v>88.92</v>
      </c>
      <c r="K9" s="68"/>
      <c r="L9" s="68"/>
      <c r="M9" s="68">
        <f t="shared" si="1"/>
        <v>444.02</v>
      </c>
      <c r="N9" s="68">
        <f t="shared" si="2"/>
        <v>168.02</v>
      </c>
      <c r="O9" s="68" t="s">
        <v>9</v>
      </c>
      <c r="P9" s="68">
        <f t="shared" si="3"/>
        <v>36.405</v>
      </c>
      <c r="Q9" s="68"/>
      <c r="R9" s="66">
        <f t="shared" si="4"/>
        <v>861</v>
      </c>
      <c r="S9" s="68">
        <v>968</v>
      </c>
      <c r="T9" s="93">
        <v>1076</v>
      </c>
      <c r="U9" s="32">
        <f>VLOOKUP(B:B,[2]Sheet1!$A$1:$B$65536,2,0)</f>
        <v>1666.36</v>
      </c>
      <c r="V9" s="32">
        <f t="shared" si="5"/>
        <v>805.36</v>
      </c>
      <c r="W9" s="32" t="s">
        <v>9</v>
      </c>
      <c r="X9" s="90">
        <f>U9*0.25</f>
        <v>416.59</v>
      </c>
      <c r="Y9" s="90"/>
      <c r="Z9" s="32">
        <f t="shared" si="6"/>
        <v>453</v>
      </c>
      <c r="AA9" s="32">
        <f t="shared" si="7"/>
        <v>0</v>
      </c>
    </row>
    <row r="10" spans="1:27">
      <c r="A10" s="66">
        <v>8</v>
      </c>
      <c r="B10" s="69">
        <v>721</v>
      </c>
      <c r="C10" s="70" t="s">
        <v>31</v>
      </c>
      <c r="D10" s="66" t="str">
        <f>VLOOKUP(B:B,[1]查询时间段分门店销售汇总!$B:$F,5,0)</f>
        <v>B2</v>
      </c>
      <c r="E10" s="69" t="s">
        <v>23</v>
      </c>
      <c r="F10" s="66">
        <f t="shared" si="0"/>
        <v>410</v>
      </c>
      <c r="G10" s="68">
        <v>462</v>
      </c>
      <c r="H10" s="68">
        <v>513</v>
      </c>
      <c r="I10" s="68">
        <v>539.15</v>
      </c>
      <c r="J10" s="68"/>
      <c r="K10" s="68"/>
      <c r="L10" s="68"/>
      <c r="M10" s="68">
        <f t="shared" si="1"/>
        <v>539.15</v>
      </c>
      <c r="N10" s="68">
        <f t="shared" si="2"/>
        <v>129.15</v>
      </c>
      <c r="O10" s="68" t="s">
        <v>9</v>
      </c>
      <c r="P10" s="68">
        <f t="shared" si="3"/>
        <v>48.5235</v>
      </c>
      <c r="Q10" s="68"/>
      <c r="R10" s="66">
        <f t="shared" si="4"/>
        <v>1104</v>
      </c>
      <c r="S10" s="68">
        <v>1242</v>
      </c>
      <c r="T10" s="91">
        <v>1380</v>
      </c>
      <c r="U10" s="32">
        <f>VLOOKUP(B:B,[2]Sheet1!$A$1:$B$65536,2,0)</f>
        <v>2208.14</v>
      </c>
      <c r="V10" s="32">
        <f t="shared" si="5"/>
        <v>1104.14</v>
      </c>
      <c r="W10" s="32" t="s">
        <v>9</v>
      </c>
      <c r="X10" s="90">
        <f>U10*0.25</f>
        <v>552.035</v>
      </c>
      <c r="Y10" s="90"/>
      <c r="Z10" s="32">
        <f t="shared" si="6"/>
        <v>601</v>
      </c>
      <c r="AA10" s="32">
        <f t="shared" si="7"/>
        <v>0</v>
      </c>
    </row>
    <row r="11" spans="1:27">
      <c r="A11" s="66">
        <v>9</v>
      </c>
      <c r="B11" s="66">
        <v>732</v>
      </c>
      <c r="C11" s="67" t="s">
        <v>32</v>
      </c>
      <c r="D11" s="66" t="str">
        <f>VLOOKUP(B:B,[1]查询时间段分门店销售汇总!$B:$F,5,0)</f>
        <v>C1</v>
      </c>
      <c r="E11" s="66" t="s">
        <v>23</v>
      </c>
      <c r="F11" s="66">
        <f t="shared" si="0"/>
        <v>290</v>
      </c>
      <c r="G11" s="68">
        <v>326</v>
      </c>
      <c r="H11" s="68">
        <v>362</v>
      </c>
      <c r="I11" s="68">
        <v>188.97</v>
      </c>
      <c r="J11" s="68">
        <v>78.8</v>
      </c>
      <c r="K11" s="68">
        <v>30</v>
      </c>
      <c r="L11" s="68">
        <v>198</v>
      </c>
      <c r="M11" s="68">
        <f t="shared" si="1"/>
        <v>495.77</v>
      </c>
      <c r="N11" s="68">
        <f t="shared" si="2"/>
        <v>205.77</v>
      </c>
      <c r="O11" s="68" t="s">
        <v>9</v>
      </c>
      <c r="P11" s="68">
        <f t="shared" si="3"/>
        <v>30.6673</v>
      </c>
      <c r="Q11" s="68"/>
      <c r="R11" s="66">
        <f t="shared" si="4"/>
        <v>662</v>
      </c>
      <c r="S11" s="68">
        <v>744</v>
      </c>
      <c r="T11" s="68">
        <v>827</v>
      </c>
      <c r="U11" s="32">
        <f>VLOOKUP(B:B,[2]Sheet1!$A$1:$B$65536,2,0)</f>
        <v>329.68</v>
      </c>
      <c r="V11" s="32">
        <f t="shared" si="5"/>
        <v>-332.32</v>
      </c>
      <c r="W11" s="32" t="s">
        <v>25</v>
      </c>
      <c r="X11" s="90">
        <f>U11*0.15</f>
        <v>49.452</v>
      </c>
      <c r="Y11" s="90">
        <f>V11*0.05</f>
        <v>-16.616</v>
      </c>
      <c r="Z11" s="32">
        <f t="shared" si="6"/>
        <v>80</v>
      </c>
      <c r="AA11" s="32">
        <f t="shared" si="7"/>
        <v>-17</v>
      </c>
    </row>
    <row r="12" spans="1:27">
      <c r="A12" s="66">
        <v>10</v>
      </c>
      <c r="B12" s="69">
        <v>591</v>
      </c>
      <c r="C12" s="70" t="s">
        <v>33</v>
      </c>
      <c r="D12" s="66" t="str">
        <f>VLOOKUP(B:B,[1]查询时间段分门店销售汇总!$B:$F,5,0)</f>
        <v>B2</v>
      </c>
      <c r="E12" s="69" t="s">
        <v>23</v>
      </c>
      <c r="F12" s="66">
        <f t="shared" si="0"/>
        <v>385</v>
      </c>
      <c r="G12" s="68">
        <v>433</v>
      </c>
      <c r="H12" s="68">
        <v>481</v>
      </c>
      <c r="I12" s="68">
        <v>663.82</v>
      </c>
      <c r="J12" s="68"/>
      <c r="K12" s="68"/>
      <c r="L12" s="68"/>
      <c r="M12" s="68">
        <f t="shared" si="1"/>
        <v>663.82</v>
      </c>
      <c r="N12" s="68">
        <f t="shared" si="2"/>
        <v>278.82</v>
      </c>
      <c r="O12" s="68" t="s">
        <v>9</v>
      </c>
      <c r="P12" s="68">
        <f t="shared" si="3"/>
        <v>59.7438</v>
      </c>
      <c r="Q12" s="68"/>
      <c r="R12" s="66">
        <f t="shared" si="4"/>
        <v>991</v>
      </c>
      <c r="S12" s="68">
        <v>1115</v>
      </c>
      <c r="T12" s="91">
        <v>1239</v>
      </c>
      <c r="U12" s="32">
        <f>VLOOKUP(B:B,[2]Sheet1!$A$1:$B$65536,2,0)</f>
        <v>2073.75</v>
      </c>
      <c r="V12" s="32">
        <f t="shared" si="5"/>
        <v>1082.75</v>
      </c>
      <c r="W12" s="32" t="s">
        <v>9</v>
      </c>
      <c r="X12" s="90">
        <f>U12*0.25</f>
        <v>518.4375</v>
      </c>
      <c r="Y12" s="90"/>
      <c r="Z12" s="32">
        <f t="shared" si="6"/>
        <v>578</v>
      </c>
      <c r="AA12" s="32">
        <f t="shared" si="7"/>
        <v>0</v>
      </c>
    </row>
    <row r="13" spans="1:27">
      <c r="A13" s="66">
        <v>11</v>
      </c>
      <c r="B13" s="69">
        <v>341</v>
      </c>
      <c r="C13" s="70" t="s">
        <v>34</v>
      </c>
      <c r="D13" s="66" t="str">
        <f>VLOOKUP(B:B,[1]查询时间段分门店销售汇总!$B:$F,5,0)</f>
        <v>A1</v>
      </c>
      <c r="E13" s="69" t="s">
        <v>23</v>
      </c>
      <c r="F13" s="66">
        <f t="shared" si="0"/>
        <v>799</v>
      </c>
      <c r="G13" s="68">
        <v>899</v>
      </c>
      <c r="H13" s="68">
        <v>999</v>
      </c>
      <c r="I13" s="68">
        <v>891.819999999999</v>
      </c>
      <c r="J13" s="68">
        <v>152.55</v>
      </c>
      <c r="K13" s="68"/>
      <c r="L13" s="68">
        <v>66</v>
      </c>
      <c r="M13" s="68">
        <f t="shared" si="1"/>
        <v>1110.37</v>
      </c>
      <c r="N13" s="68">
        <f t="shared" si="2"/>
        <v>311.369999999999</v>
      </c>
      <c r="O13" s="68" t="s">
        <v>9</v>
      </c>
      <c r="P13" s="68">
        <f t="shared" si="3"/>
        <v>90.5312999999999</v>
      </c>
      <c r="Q13" s="68"/>
      <c r="R13" s="66">
        <f t="shared" si="4"/>
        <v>2875</v>
      </c>
      <c r="S13" s="68">
        <v>3235</v>
      </c>
      <c r="T13" s="94">
        <v>3594</v>
      </c>
      <c r="U13" s="32">
        <f>VLOOKUP(B:B,[2]Sheet1!$A$1:$B$65536,2,0)</f>
        <v>2082.7</v>
      </c>
      <c r="V13" s="32">
        <f t="shared" si="5"/>
        <v>-792.3</v>
      </c>
      <c r="W13" s="32" t="s">
        <v>25</v>
      </c>
      <c r="X13" s="90">
        <f>U13*0.15</f>
        <v>312.405</v>
      </c>
      <c r="Y13" s="90">
        <f>V13*0.05</f>
        <v>-39.615</v>
      </c>
      <c r="Z13" s="32">
        <f t="shared" si="6"/>
        <v>403</v>
      </c>
      <c r="AA13" s="32">
        <f t="shared" si="7"/>
        <v>-40</v>
      </c>
    </row>
    <row r="14" spans="1:27">
      <c r="A14" s="66">
        <v>12</v>
      </c>
      <c r="B14" s="71">
        <v>385</v>
      </c>
      <c r="C14" s="72" t="s">
        <v>35</v>
      </c>
      <c r="D14" s="66" t="str">
        <f>VLOOKUP(B:B,[1]查询时间段分门店销售汇总!$B:$F,5,0)</f>
        <v>A1</v>
      </c>
      <c r="E14" s="71" t="s">
        <v>23</v>
      </c>
      <c r="F14" s="66">
        <f t="shared" si="0"/>
        <v>914</v>
      </c>
      <c r="G14" s="68">
        <v>1029</v>
      </c>
      <c r="H14" s="68">
        <v>1143</v>
      </c>
      <c r="I14" s="68">
        <v>277.2</v>
      </c>
      <c r="J14" s="68">
        <v>197.4</v>
      </c>
      <c r="K14" s="68">
        <v>60</v>
      </c>
      <c r="L14" s="68">
        <v>130</v>
      </c>
      <c r="M14" s="68">
        <f t="shared" si="1"/>
        <v>664.6</v>
      </c>
      <c r="N14" s="68">
        <f t="shared" si="2"/>
        <v>-249.4</v>
      </c>
      <c r="O14" s="68" t="s">
        <v>25</v>
      </c>
      <c r="P14" s="68">
        <f>I14*0.05+J14*0.03+K14*0.04+L14*0.02</f>
        <v>24.782</v>
      </c>
      <c r="Q14" s="68">
        <f>N14*0.03</f>
        <v>-7.482</v>
      </c>
      <c r="R14" s="66">
        <f t="shared" si="4"/>
        <v>2046</v>
      </c>
      <c r="S14" s="68">
        <v>2301</v>
      </c>
      <c r="T14" s="91">
        <v>2557</v>
      </c>
      <c r="U14" s="32">
        <f>VLOOKUP(B:B,[2]Sheet1!$A$1:$B$65536,2,0)</f>
        <v>353</v>
      </c>
      <c r="V14" s="32">
        <f t="shared" si="5"/>
        <v>-1693</v>
      </c>
      <c r="W14" s="32" t="s">
        <v>25</v>
      </c>
      <c r="X14" s="90">
        <f>U14*0.15</f>
        <v>52.95</v>
      </c>
      <c r="Y14" s="90">
        <f>V14*0.05</f>
        <v>-84.65</v>
      </c>
      <c r="Z14" s="32">
        <f t="shared" si="6"/>
        <v>78</v>
      </c>
      <c r="AA14" s="32">
        <f t="shared" si="7"/>
        <v>-92</v>
      </c>
    </row>
    <row r="15" spans="1:27">
      <c r="A15" s="66">
        <v>13</v>
      </c>
      <c r="B15" s="69">
        <v>514</v>
      </c>
      <c r="C15" s="70" t="s">
        <v>36</v>
      </c>
      <c r="D15" s="66" t="str">
        <f>VLOOKUP(B:B,[1]查询时间段分门店销售汇总!$B:$F,5,0)</f>
        <v>A2</v>
      </c>
      <c r="E15" s="69" t="s">
        <v>23</v>
      </c>
      <c r="F15" s="66">
        <f t="shared" si="0"/>
        <v>808</v>
      </c>
      <c r="G15" s="68">
        <v>909</v>
      </c>
      <c r="H15" s="68">
        <v>1010</v>
      </c>
      <c r="I15" s="68">
        <v>1469.03</v>
      </c>
      <c r="J15" s="68">
        <v>78</v>
      </c>
      <c r="K15" s="68">
        <v>235.5</v>
      </c>
      <c r="L15" s="68"/>
      <c r="M15" s="68">
        <f t="shared" si="1"/>
        <v>1782.53</v>
      </c>
      <c r="N15" s="68">
        <f t="shared" si="2"/>
        <v>974.53</v>
      </c>
      <c r="O15" s="68" t="s">
        <v>9</v>
      </c>
      <c r="P15" s="68">
        <f>I15*0.09+J15*0.05+K15*0.06+L15*0.04</f>
        <v>150.2427</v>
      </c>
      <c r="Q15" s="68"/>
      <c r="R15" s="66">
        <f t="shared" si="4"/>
        <v>1620</v>
      </c>
      <c r="S15" s="68">
        <v>1823</v>
      </c>
      <c r="T15" s="91">
        <v>2025</v>
      </c>
      <c r="U15" s="32">
        <f>VLOOKUP(B:B,[2]Sheet1!$A$1:$B$65536,2,0)</f>
        <v>3806.31</v>
      </c>
      <c r="V15" s="32">
        <f t="shared" si="5"/>
        <v>2186.31</v>
      </c>
      <c r="W15" s="32" t="s">
        <v>9</v>
      </c>
      <c r="X15" s="90">
        <f>U15*0.25</f>
        <v>951.5775</v>
      </c>
      <c r="Y15" s="90"/>
      <c r="Z15" s="32">
        <f t="shared" si="6"/>
        <v>1102</v>
      </c>
      <c r="AA15" s="32">
        <f t="shared" si="7"/>
        <v>0</v>
      </c>
    </row>
    <row r="16" spans="1:27">
      <c r="A16" s="66">
        <v>14</v>
      </c>
      <c r="B16" s="73">
        <v>371</v>
      </c>
      <c r="C16" s="74" t="s">
        <v>37</v>
      </c>
      <c r="D16" s="66" t="str">
        <f>VLOOKUP(B:B,[1]查询时间段分门店销售汇总!$B:$F,5,0)</f>
        <v>C1</v>
      </c>
      <c r="E16" s="73" t="s">
        <v>23</v>
      </c>
      <c r="F16" s="66">
        <f t="shared" si="0"/>
        <v>332</v>
      </c>
      <c r="G16" s="68">
        <v>374</v>
      </c>
      <c r="H16" s="68">
        <v>415</v>
      </c>
      <c r="I16" s="68">
        <v>432.6</v>
      </c>
      <c r="J16" s="68">
        <v>157.6</v>
      </c>
      <c r="K16" s="68">
        <v>32</v>
      </c>
      <c r="L16" s="68">
        <v>134</v>
      </c>
      <c r="M16" s="68">
        <f t="shared" si="1"/>
        <v>756.2</v>
      </c>
      <c r="N16" s="68">
        <f t="shared" si="2"/>
        <v>424.2</v>
      </c>
      <c r="O16" s="68" t="s">
        <v>9</v>
      </c>
      <c r="P16" s="68">
        <f>I16*0.09+J16*0.05+K16*0.06+L16*0.04</f>
        <v>54.094</v>
      </c>
      <c r="Q16" s="68"/>
      <c r="R16" s="66">
        <f t="shared" si="4"/>
        <v>689</v>
      </c>
      <c r="S16" s="68">
        <v>775</v>
      </c>
      <c r="T16" s="95">
        <v>861</v>
      </c>
      <c r="U16" s="32">
        <f>VLOOKUP(B:B,[2]Sheet1!$A$1:$B$65536,2,0)</f>
        <v>416</v>
      </c>
      <c r="V16" s="32">
        <f t="shared" si="5"/>
        <v>-273</v>
      </c>
      <c r="W16" s="32" t="s">
        <v>25</v>
      </c>
      <c r="X16" s="90">
        <f>U16*0.15</f>
        <v>62.4</v>
      </c>
      <c r="Y16" s="90">
        <f>V16*0.05</f>
        <v>-13.65</v>
      </c>
      <c r="Z16" s="32">
        <f t="shared" si="6"/>
        <v>116</v>
      </c>
      <c r="AA16" s="32">
        <f t="shared" si="7"/>
        <v>-14</v>
      </c>
    </row>
    <row r="17" spans="1:27">
      <c r="A17" s="66">
        <v>15</v>
      </c>
      <c r="B17" s="69">
        <v>748</v>
      </c>
      <c r="C17" s="70" t="s">
        <v>38</v>
      </c>
      <c r="D17" s="66" t="str">
        <f>VLOOKUP(B:B,[1]查询时间段分门店销售汇总!$B:$F,5,0)</f>
        <v>C2</v>
      </c>
      <c r="E17" s="69" t="s">
        <v>23</v>
      </c>
      <c r="F17" s="66">
        <f t="shared" si="0"/>
        <v>281</v>
      </c>
      <c r="G17" s="68">
        <v>316</v>
      </c>
      <c r="H17" s="68">
        <v>351</v>
      </c>
      <c r="I17" s="68">
        <v>584.52</v>
      </c>
      <c r="J17" s="68">
        <v>111.15</v>
      </c>
      <c r="K17" s="68">
        <v>60</v>
      </c>
      <c r="L17" s="68">
        <v>66</v>
      </c>
      <c r="M17" s="68">
        <f t="shared" si="1"/>
        <v>821.67</v>
      </c>
      <c r="N17" s="68">
        <f t="shared" si="2"/>
        <v>540.67</v>
      </c>
      <c r="O17" s="68" t="s">
        <v>9</v>
      </c>
      <c r="P17" s="68">
        <f>I17*0.09+J17*0.05+K17*0.06+L17*0.04</f>
        <v>64.4043</v>
      </c>
      <c r="Q17" s="68"/>
      <c r="R17" s="66">
        <f t="shared" si="4"/>
        <v>789</v>
      </c>
      <c r="S17" s="68">
        <v>887</v>
      </c>
      <c r="T17" s="91">
        <v>986</v>
      </c>
      <c r="U17" s="32">
        <f>VLOOKUP(B:B,[2]Sheet1!$A$1:$B$65536,2,0)</f>
        <v>1585.5</v>
      </c>
      <c r="V17" s="32">
        <f t="shared" si="5"/>
        <v>796.5</v>
      </c>
      <c r="W17" s="32" t="s">
        <v>9</v>
      </c>
      <c r="X17" s="90">
        <f>U17*0.25</f>
        <v>396.375</v>
      </c>
      <c r="Y17" s="90"/>
      <c r="Z17" s="32">
        <f t="shared" si="6"/>
        <v>461</v>
      </c>
      <c r="AA17" s="32">
        <f t="shared" si="7"/>
        <v>0</v>
      </c>
    </row>
    <row r="18" spans="1:27">
      <c r="A18" s="66">
        <v>16</v>
      </c>
      <c r="B18" s="75">
        <v>102567</v>
      </c>
      <c r="C18" s="70" t="s">
        <v>39</v>
      </c>
      <c r="D18" s="66" t="str">
        <f>VLOOKUP(B:B,[1]查询时间段分门店销售汇总!$B:$F,5,0)</f>
        <v>B2</v>
      </c>
      <c r="E18" s="69" t="s">
        <v>23</v>
      </c>
      <c r="F18" s="66">
        <f t="shared" si="0"/>
        <v>410</v>
      </c>
      <c r="G18" s="68">
        <v>462</v>
      </c>
      <c r="H18" s="68">
        <v>513</v>
      </c>
      <c r="I18" s="68">
        <v>260.8</v>
      </c>
      <c r="J18" s="68">
        <v>110.35</v>
      </c>
      <c r="K18" s="68">
        <v>53.66</v>
      </c>
      <c r="L18" s="68">
        <v>79.49</v>
      </c>
      <c r="M18" s="68">
        <f t="shared" si="1"/>
        <v>504.3</v>
      </c>
      <c r="N18" s="68">
        <f t="shared" si="2"/>
        <v>94.3</v>
      </c>
      <c r="O18" s="68" t="s">
        <v>8</v>
      </c>
      <c r="P18" s="68">
        <f>I18*0.07+J18*0.04+K18*0.05+L18*0.03</f>
        <v>27.7377</v>
      </c>
      <c r="Q18" s="68"/>
      <c r="R18" s="66">
        <f t="shared" si="4"/>
        <v>169</v>
      </c>
      <c r="S18" s="68">
        <v>190</v>
      </c>
      <c r="T18" s="95">
        <v>211</v>
      </c>
      <c r="U18" s="32">
        <f>VLOOKUP(B:B,[2]Sheet1!$A$1:$B$65536,2,0)</f>
        <v>272</v>
      </c>
      <c r="V18" s="32">
        <f t="shared" si="5"/>
        <v>103</v>
      </c>
      <c r="W18" s="32" t="s">
        <v>9</v>
      </c>
      <c r="X18" s="90">
        <f>U18*0.25</f>
        <v>68</v>
      </c>
      <c r="Y18" s="90"/>
      <c r="Z18" s="32">
        <f t="shared" si="6"/>
        <v>96</v>
      </c>
      <c r="AA18" s="32">
        <f t="shared" si="7"/>
        <v>0</v>
      </c>
    </row>
    <row r="19" spans="1:27">
      <c r="A19" s="66">
        <v>17</v>
      </c>
      <c r="B19" s="76">
        <v>102564</v>
      </c>
      <c r="C19" s="77" t="s">
        <v>40</v>
      </c>
      <c r="D19" s="66" t="str">
        <f>VLOOKUP(B:B,[1]查询时间段分门店销售汇总!$B:$F,5,0)</f>
        <v>C2</v>
      </c>
      <c r="E19" s="69" t="s">
        <v>23</v>
      </c>
      <c r="F19" s="66">
        <f t="shared" si="0"/>
        <v>385</v>
      </c>
      <c r="G19" s="68">
        <v>433</v>
      </c>
      <c r="H19" s="68">
        <v>481</v>
      </c>
      <c r="I19" s="68">
        <v>486.81</v>
      </c>
      <c r="J19" s="68"/>
      <c r="K19" s="68">
        <v>66</v>
      </c>
      <c r="L19" s="68">
        <v>112.2</v>
      </c>
      <c r="M19" s="68">
        <f t="shared" si="1"/>
        <v>665.01</v>
      </c>
      <c r="N19" s="68">
        <f t="shared" si="2"/>
        <v>280.01</v>
      </c>
      <c r="O19" s="68" t="s">
        <v>9</v>
      </c>
      <c r="P19" s="68">
        <f>I19*0.09+J19*0.05+K19*0.06+L19*0.04</f>
        <v>52.2609</v>
      </c>
      <c r="Q19" s="68"/>
      <c r="R19" s="66">
        <f t="shared" si="4"/>
        <v>390</v>
      </c>
      <c r="S19" s="68">
        <v>439</v>
      </c>
      <c r="T19" s="95">
        <v>488</v>
      </c>
      <c r="U19" s="32">
        <f>VLOOKUP(B:B,[2]Sheet1!$A$1:$B$65536,2,0)</f>
        <v>546.5</v>
      </c>
      <c r="V19" s="32">
        <f t="shared" si="5"/>
        <v>156.5</v>
      </c>
      <c r="W19" s="32" t="s">
        <v>9</v>
      </c>
      <c r="X19" s="90">
        <f>U19*0.25</f>
        <v>136.625</v>
      </c>
      <c r="Y19" s="90"/>
      <c r="Z19" s="32">
        <f t="shared" si="6"/>
        <v>189</v>
      </c>
      <c r="AA19" s="32">
        <f t="shared" si="7"/>
        <v>0</v>
      </c>
    </row>
    <row r="20" spans="1:27">
      <c r="A20" s="66">
        <v>18</v>
      </c>
      <c r="B20" s="16">
        <v>104533</v>
      </c>
      <c r="C20" s="77" t="s">
        <v>41</v>
      </c>
      <c r="D20" s="66"/>
      <c r="E20" s="17" t="s">
        <v>42</v>
      </c>
      <c r="F20" s="66">
        <f t="shared" si="0"/>
        <v>0</v>
      </c>
      <c r="G20" s="68">
        <v>0</v>
      </c>
      <c r="H20" s="68">
        <v>0</v>
      </c>
      <c r="I20" s="68">
        <v>272.15</v>
      </c>
      <c r="J20" s="68"/>
      <c r="K20" s="68">
        <v>64</v>
      </c>
      <c r="L20" s="68"/>
      <c r="M20" s="68">
        <f t="shared" si="1"/>
        <v>336.15</v>
      </c>
      <c r="N20" s="68">
        <f t="shared" si="2"/>
        <v>336.15</v>
      </c>
      <c r="O20" s="68" t="s">
        <v>7</v>
      </c>
      <c r="P20" s="68">
        <f>I20*0.05+J20*0.03+K20*0.04+L20*0.02</f>
        <v>16.1675</v>
      </c>
      <c r="Q20" s="68"/>
      <c r="R20" s="66">
        <f t="shared" si="4"/>
        <v>0</v>
      </c>
      <c r="S20" s="68">
        <v>0</v>
      </c>
      <c r="T20" s="91">
        <v>0</v>
      </c>
      <c r="U20" s="32">
        <f>VLOOKUP(B:B,[2]Sheet1!$A$1:$B$65536,2,0)</f>
        <v>307.5</v>
      </c>
      <c r="V20" s="32">
        <f t="shared" si="5"/>
        <v>307.5</v>
      </c>
      <c r="W20" s="32" t="s">
        <v>7</v>
      </c>
      <c r="X20" s="90">
        <f>U20*0.15</f>
        <v>46.125</v>
      </c>
      <c r="Y20" s="90"/>
      <c r="Z20" s="32">
        <f t="shared" si="6"/>
        <v>62</v>
      </c>
      <c r="AA20" s="32">
        <f t="shared" si="7"/>
        <v>0</v>
      </c>
    </row>
    <row r="21" s="56" customFormat="1" spans="1:27">
      <c r="A21" s="78"/>
      <c r="B21" s="78"/>
      <c r="C21" s="60"/>
      <c r="D21" s="79"/>
      <c r="E21" s="78" t="s">
        <v>23</v>
      </c>
      <c r="F21" s="79">
        <f>SUM(F3:F20)</f>
        <v>7354</v>
      </c>
      <c r="G21" s="79">
        <f t="shared" ref="G21:AA21" si="8">SUM(G3:G20)</f>
        <v>8276</v>
      </c>
      <c r="H21" s="79">
        <f t="shared" si="8"/>
        <v>9193</v>
      </c>
      <c r="I21" s="79">
        <f t="shared" si="8"/>
        <v>10066.81</v>
      </c>
      <c r="J21" s="79">
        <f t="shared" si="8"/>
        <v>1908.06</v>
      </c>
      <c r="K21" s="79">
        <f t="shared" si="8"/>
        <v>1268.21</v>
      </c>
      <c r="L21" s="79">
        <f t="shared" si="8"/>
        <v>1451.69</v>
      </c>
      <c r="M21" s="79">
        <f t="shared" si="8"/>
        <v>14694.77</v>
      </c>
      <c r="N21" s="79">
        <f t="shared" si="8"/>
        <v>7340.77</v>
      </c>
      <c r="O21" s="79">
        <f t="shared" si="8"/>
        <v>0</v>
      </c>
      <c r="P21" s="79">
        <f t="shared" si="8"/>
        <v>1096.9231</v>
      </c>
      <c r="Q21" s="79">
        <f t="shared" si="8"/>
        <v>-7.482</v>
      </c>
      <c r="R21" s="79">
        <f t="shared" si="8"/>
        <v>17683</v>
      </c>
      <c r="S21" s="79">
        <f t="shared" si="8"/>
        <v>19891</v>
      </c>
      <c r="T21" s="79">
        <f t="shared" si="8"/>
        <v>22102</v>
      </c>
      <c r="U21" s="79">
        <f t="shared" si="8"/>
        <v>21767.91</v>
      </c>
      <c r="V21" s="79">
        <f t="shared" si="8"/>
        <v>4084.91</v>
      </c>
      <c r="W21" s="79">
        <f t="shared" si="8"/>
        <v>0</v>
      </c>
      <c r="X21" s="79">
        <f t="shared" si="8"/>
        <v>4828.879</v>
      </c>
      <c r="Y21" s="79">
        <f t="shared" si="8"/>
        <v>-187.631</v>
      </c>
      <c r="Z21" s="79">
        <f t="shared" si="8"/>
        <v>5926</v>
      </c>
      <c r="AA21" s="79">
        <f t="shared" si="8"/>
        <v>-196</v>
      </c>
    </row>
    <row r="22" spans="1:27">
      <c r="A22" s="80">
        <v>19</v>
      </c>
      <c r="B22" s="80">
        <v>52</v>
      </c>
      <c r="C22" s="77" t="s">
        <v>43</v>
      </c>
      <c r="D22" s="66" t="str">
        <f>VLOOKUP(B:B,[1]查询时间段分门店销售汇总!$B:$F,5,0)</f>
        <v>B1</v>
      </c>
      <c r="E22" s="80" t="s">
        <v>44</v>
      </c>
      <c r="F22" s="66">
        <f t="shared" si="0"/>
        <v>546</v>
      </c>
      <c r="G22" s="68">
        <v>615</v>
      </c>
      <c r="H22" s="68">
        <v>683</v>
      </c>
      <c r="I22" s="68">
        <v>301.25</v>
      </c>
      <c r="J22" s="68">
        <v>196.6</v>
      </c>
      <c r="K22" s="68">
        <v>32</v>
      </c>
      <c r="L22" s="68"/>
      <c r="M22" s="68">
        <f t="shared" si="1"/>
        <v>529.85</v>
      </c>
      <c r="N22" s="68">
        <f t="shared" si="2"/>
        <v>-16.15</v>
      </c>
      <c r="O22" s="68" t="s">
        <v>25</v>
      </c>
      <c r="P22" s="68">
        <f>I22*0.05+J22*0.03+K22*0.04+L22*0.02</f>
        <v>22.2405</v>
      </c>
      <c r="Q22" s="68">
        <f>N22*0.03</f>
        <v>-0.484499999999999</v>
      </c>
      <c r="R22" s="66">
        <f t="shared" si="4"/>
        <v>1340</v>
      </c>
      <c r="S22" s="68">
        <v>1508</v>
      </c>
      <c r="T22" s="94">
        <v>1675</v>
      </c>
      <c r="U22" s="32">
        <f>VLOOKUP(B:B,[2]Sheet1!$A$1:$B$65536,2,0)</f>
        <v>1203.5</v>
      </c>
      <c r="V22" s="32">
        <f t="shared" si="5"/>
        <v>-136.5</v>
      </c>
      <c r="W22" s="32" t="s">
        <v>25</v>
      </c>
      <c r="X22" s="90">
        <f>U22*0.15</f>
        <v>180.525</v>
      </c>
      <c r="Y22" s="90">
        <f>V22*0.05</f>
        <v>-6.825</v>
      </c>
      <c r="Z22" s="32">
        <f t="shared" si="6"/>
        <v>203</v>
      </c>
      <c r="AA22" s="32">
        <f t="shared" si="7"/>
        <v>-7</v>
      </c>
    </row>
    <row r="23" spans="1:27">
      <c r="A23" s="80">
        <v>20</v>
      </c>
      <c r="B23" s="80">
        <v>54</v>
      </c>
      <c r="C23" s="77" t="s">
        <v>45</v>
      </c>
      <c r="D23" s="66" t="str">
        <f>VLOOKUP(B:B,[1]查询时间段分门店销售汇总!$B:$F,5,0)</f>
        <v>B1</v>
      </c>
      <c r="E23" s="80" t="s">
        <v>44</v>
      </c>
      <c r="F23" s="66">
        <f t="shared" si="0"/>
        <v>543</v>
      </c>
      <c r="G23" s="68">
        <v>611</v>
      </c>
      <c r="H23" s="68">
        <v>679</v>
      </c>
      <c r="I23" s="68">
        <v>356.46</v>
      </c>
      <c r="J23" s="68">
        <v>414.9</v>
      </c>
      <c r="K23" s="68">
        <v>92</v>
      </c>
      <c r="L23" s="68"/>
      <c r="M23" s="68">
        <f t="shared" si="1"/>
        <v>863.36</v>
      </c>
      <c r="N23" s="68">
        <f t="shared" si="2"/>
        <v>320.36</v>
      </c>
      <c r="O23" s="68" t="s">
        <v>9</v>
      </c>
      <c r="P23" s="68">
        <f>I23*0.09+J23*0.05+K23*0.06+L23*0.04</f>
        <v>58.3464</v>
      </c>
      <c r="Q23" s="68"/>
      <c r="R23" s="66">
        <f t="shared" si="4"/>
        <v>1328</v>
      </c>
      <c r="S23" s="68">
        <v>1494</v>
      </c>
      <c r="T23" s="94">
        <v>1660</v>
      </c>
      <c r="U23" s="32">
        <f>VLOOKUP(B:B,[2]Sheet1!$A$1:$B$65536,2,0)</f>
        <v>2232</v>
      </c>
      <c r="V23" s="32">
        <f t="shared" si="5"/>
        <v>904</v>
      </c>
      <c r="W23" s="32" t="s">
        <v>9</v>
      </c>
      <c r="X23" s="90">
        <f>U23*0.25</f>
        <v>558</v>
      </c>
      <c r="Y23" s="90"/>
      <c r="Z23" s="32">
        <f t="shared" si="6"/>
        <v>616</v>
      </c>
      <c r="AA23" s="32">
        <f t="shared" si="7"/>
        <v>0</v>
      </c>
    </row>
    <row r="24" spans="1:27">
      <c r="A24" s="80">
        <v>21</v>
      </c>
      <c r="B24" s="80">
        <v>56</v>
      </c>
      <c r="C24" s="77" t="s">
        <v>46</v>
      </c>
      <c r="D24" s="66" t="str">
        <f>VLOOKUP(B:B,[1]查询时间段分门店销售汇总!$B:$F,5,0)</f>
        <v>C1</v>
      </c>
      <c r="E24" s="80" t="s">
        <v>44</v>
      </c>
      <c r="F24" s="66">
        <f t="shared" si="0"/>
        <v>322</v>
      </c>
      <c r="G24" s="68">
        <v>363</v>
      </c>
      <c r="H24" s="68">
        <v>403</v>
      </c>
      <c r="I24" s="68">
        <v>475.43</v>
      </c>
      <c r="J24" s="68">
        <v>195</v>
      </c>
      <c r="K24" s="68">
        <v>60</v>
      </c>
      <c r="L24" s="68">
        <v>114</v>
      </c>
      <c r="M24" s="68">
        <f t="shared" si="1"/>
        <v>844.43</v>
      </c>
      <c r="N24" s="68">
        <f t="shared" si="2"/>
        <v>522.43</v>
      </c>
      <c r="O24" s="68" t="s">
        <v>9</v>
      </c>
      <c r="P24" s="68">
        <f>I24*0.09+J24*0.05+K24*0.06+L24*0.04</f>
        <v>60.6987</v>
      </c>
      <c r="Q24" s="68"/>
      <c r="R24" s="66">
        <f t="shared" si="4"/>
        <v>776</v>
      </c>
      <c r="S24" s="68">
        <v>873</v>
      </c>
      <c r="T24" s="94">
        <v>970</v>
      </c>
      <c r="U24" s="32">
        <f>VLOOKUP(B:B,[2]Sheet1!$A$1:$B$65536,2,0)</f>
        <v>3617.27</v>
      </c>
      <c r="V24" s="32">
        <f t="shared" si="5"/>
        <v>2841.27</v>
      </c>
      <c r="W24" s="32" t="s">
        <v>9</v>
      </c>
      <c r="X24" s="90">
        <f>U24*0.25</f>
        <v>904.3175</v>
      </c>
      <c r="Y24" s="90"/>
      <c r="Z24" s="32">
        <f t="shared" si="6"/>
        <v>965</v>
      </c>
      <c r="AA24" s="32">
        <f t="shared" si="7"/>
        <v>0</v>
      </c>
    </row>
    <row r="25" spans="1:27">
      <c r="A25" s="80">
        <v>22</v>
      </c>
      <c r="B25" s="80">
        <v>351</v>
      </c>
      <c r="C25" s="77" t="s">
        <v>47</v>
      </c>
      <c r="D25" s="66" t="str">
        <f>VLOOKUP(B:B,[1]查询时间段分门店销售汇总!$B:$F,5,0)</f>
        <v>B1</v>
      </c>
      <c r="E25" s="80" t="s">
        <v>44</v>
      </c>
      <c r="F25" s="66">
        <f t="shared" si="0"/>
        <v>278</v>
      </c>
      <c r="G25" s="68">
        <v>313</v>
      </c>
      <c r="H25" s="68">
        <v>348</v>
      </c>
      <c r="I25" s="68">
        <v>452.35</v>
      </c>
      <c r="J25" s="68">
        <v>510.6</v>
      </c>
      <c r="K25" s="68"/>
      <c r="L25" s="68"/>
      <c r="M25" s="68">
        <f t="shared" si="1"/>
        <v>962.95</v>
      </c>
      <c r="N25" s="68">
        <f t="shared" si="2"/>
        <v>684.95</v>
      </c>
      <c r="O25" s="68" t="s">
        <v>9</v>
      </c>
      <c r="P25" s="68">
        <f>I25*0.09+J25*0.05+K25*0.06+L25*0.04</f>
        <v>66.2415</v>
      </c>
      <c r="Q25" s="68"/>
      <c r="R25" s="66">
        <f t="shared" si="4"/>
        <v>1014</v>
      </c>
      <c r="S25" s="68">
        <v>1140</v>
      </c>
      <c r="T25" s="94">
        <v>1267</v>
      </c>
      <c r="U25" s="32">
        <f>VLOOKUP(B:B,[2]Sheet1!$A$1:$B$65536,2,0)</f>
        <v>1172.89</v>
      </c>
      <c r="V25" s="32">
        <f t="shared" si="5"/>
        <v>158.89</v>
      </c>
      <c r="W25" s="32" t="s">
        <v>8</v>
      </c>
      <c r="X25" s="90">
        <f>U25*0.2</f>
        <v>234.578</v>
      </c>
      <c r="Y25" s="90"/>
      <c r="Z25" s="32">
        <f t="shared" si="6"/>
        <v>301</v>
      </c>
      <c r="AA25" s="32">
        <f t="shared" si="7"/>
        <v>0</v>
      </c>
    </row>
    <row r="26" spans="1:27">
      <c r="A26" s="80">
        <v>23</v>
      </c>
      <c r="B26" s="80">
        <v>367</v>
      </c>
      <c r="C26" s="77" t="s">
        <v>48</v>
      </c>
      <c r="D26" s="66" t="str">
        <f>VLOOKUP(B:B,[1]查询时间段分门店销售汇总!$B:$F,5,0)</f>
        <v>B2</v>
      </c>
      <c r="E26" s="80" t="s">
        <v>44</v>
      </c>
      <c r="F26" s="66">
        <f t="shared" si="0"/>
        <v>556</v>
      </c>
      <c r="G26" s="68">
        <v>626</v>
      </c>
      <c r="H26" s="68">
        <v>695</v>
      </c>
      <c r="I26" s="68">
        <v>346.55</v>
      </c>
      <c r="J26" s="68">
        <v>423.95</v>
      </c>
      <c r="K26" s="68"/>
      <c r="L26" s="68"/>
      <c r="M26" s="68">
        <f t="shared" si="1"/>
        <v>770.5</v>
      </c>
      <c r="N26" s="68">
        <f t="shared" si="2"/>
        <v>214.5</v>
      </c>
      <c r="O26" s="68" t="s">
        <v>9</v>
      </c>
      <c r="P26" s="68">
        <f>I26*0.09+J26*0.05+K26*0.06+L26*0.04</f>
        <v>52.387</v>
      </c>
      <c r="Q26" s="68"/>
      <c r="R26" s="66">
        <f t="shared" si="4"/>
        <v>1165</v>
      </c>
      <c r="S26" s="68">
        <v>1310</v>
      </c>
      <c r="T26" s="94">
        <v>1456</v>
      </c>
      <c r="U26" s="32">
        <f>VLOOKUP(B:B,[2]Sheet1!$A$1:$B$65536,2,0)</f>
        <v>1403.94</v>
      </c>
      <c r="V26" s="32">
        <f t="shared" si="5"/>
        <v>238.94</v>
      </c>
      <c r="W26" s="32" t="s">
        <v>8</v>
      </c>
      <c r="X26" s="90">
        <f>U26*0.2</f>
        <v>280.788</v>
      </c>
      <c r="Y26" s="90"/>
      <c r="Z26" s="32">
        <f t="shared" si="6"/>
        <v>333</v>
      </c>
      <c r="AA26" s="32">
        <f t="shared" si="7"/>
        <v>0</v>
      </c>
    </row>
    <row r="27" spans="1:27">
      <c r="A27" s="80">
        <v>24</v>
      </c>
      <c r="B27" s="80">
        <v>587</v>
      </c>
      <c r="C27" s="77" t="s">
        <v>49</v>
      </c>
      <c r="D27" s="66" t="str">
        <f>VLOOKUP(B:B,[1]查询时间段分门店销售汇总!$B:$F,5,0)</f>
        <v>B1</v>
      </c>
      <c r="E27" s="80" t="s">
        <v>44</v>
      </c>
      <c r="F27" s="66">
        <f t="shared" si="0"/>
        <v>538</v>
      </c>
      <c r="G27" s="68">
        <v>606</v>
      </c>
      <c r="H27" s="68">
        <v>673</v>
      </c>
      <c r="I27" s="68">
        <v>523.91</v>
      </c>
      <c r="J27" s="68">
        <v>60.33</v>
      </c>
      <c r="K27" s="68">
        <v>30</v>
      </c>
      <c r="L27" s="68"/>
      <c r="M27" s="68">
        <f t="shared" si="1"/>
        <v>614.24</v>
      </c>
      <c r="N27" s="68">
        <f t="shared" si="2"/>
        <v>76.24</v>
      </c>
      <c r="O27" s="68" t="s">
        <v>8</v>
      </c>
      <c r="P27" s="68">
        <f>I27*0.07+J27*0.04+K27*0.05+L27*0.03</f>
        <v>40.5869</v>
      </c>
      <c r="Q27" s="68"/>
      <c r="R27" s="66">
        <f t="shared" si="4"/>
        <v>1326</v>
      </c>
      <c r="S27" s="68">
        <v>1491</v>
      </c>
      <c r="T27" s="94">
        <v>1657</v>
      </c>
      <c r="U27" s="32">
        <f>VLOOKUP(B:B,[2]Sheet1!$A$1:$B$65536,2,0)</f>
        <v>856.5</v>
      </c>
      <c r="V27" s="32">
        <f t="shared" si="5"/>
        <v>-469.5</v>
      </c>
      <c r="W27" s="32" t="s">
        <v>25</v>
      </c>
      <c r="X27" s="90">
        <f>U27*0.15</f>
        <v>128.475</v>
      </c>
      <c r="Y27" s="90">
        <f>V27*0.05</f>
        <v>-23.475</v>
      </c>
      <c r="Z27" s="32">
        <f t="shared" si="6"/>
        <v>169</v>
      </c>
      <c r="AA27" s="32">
        <f t="shared" si="7"/>
        <v>-23</v>
      </c>
    </row>
    <row r="28" spans="1:27">
      <c r="A28" s="80">
        <v>25</v>
      </c>
      <c r="B28" s="80">
        <v>704</v>
      </c>
      <c r="C28" s="77" t="s">
        <v>50</v>
      </c>
      <c r="D28" s="66" t="str">
        <f>VLOOKUP(B:B,[1]查询时间段分门店销售汇总!$B:$F,5,0)</f>
        <v>B2 </v>
      </c>
      <c r="E28" s="80" t="s">
        <v>44</v>
      </c>
      <c r="F28" s="66">
        <f t="shared" si="0"/>
        <v>391</v>
      </c>
      <c r="G28" s="68">
        <v>440</v>
      </c>
      <c r="H28" s="68">
        <v>489</v>
      </c>
      <c r="I28" s="68">
        <v>338.26</v>
      </c>
      <c r="J28" s="68">
        <v>111.15</v>
      </c>
      <c r="K28" s="68"/>
      <c r="L28" s="68"/>
      <c r="M28" s="68">
        <f t="shared" si="1"/>
        <v>449.41</v>
      </c>
      <c r="N28" s="68">
        <f t="shared" si="2"/>
        <v>58.41</v>
      </c>
      <c r="O28" s="68" t="s">
        <v>8</v>
      </c>
      <c r="P28" s="68">
        <f>I28*0.07+J28*0.04+K28*0.05+L28*0.03</f>
        <v>28.1242</v>
      </c>
      <c r="Q28" s="68"/>
      <c r="R28" s="66">
        <f t="shared" si="4"/>
        <v>1134</v>
      </c>
      <c r="S28" s="68">
        <v>1276</v>
      </c>
      <c r="T28" s="94">
        <v>1418</v>
      </c>
      <c r="U28" s="32">
        <f>VLOOKUP(B:B,[2]Sheet1!$A$1:$B$65536,2,0)</f>
        <v>1466.85</v>
      </c>
      <c r="V28" s="32">
        <f t="shared" si="5"/>
        <v>332.85</v>
      </c>
      <c r="W28" s="32" t="s">
        <v>9</v>
      </c>
      <c r="X28" s="90">
        <f>U28*0.25</f>
        <v>366.7125</v>
      </c>
      <c r="Y28" s="90"/>
      <c r="Z28" s="32">
        <f t="shared" si="6"/>
        <v>395</v>
      </c>
      <c r="AA28" s="32">
        <f t="shared" si="7"/>
        <v>0</v>
      </c>
    </row>
    <row r="29" spans="1:27">
      <c r="A29" s="80">
        <v>26</v>
      </c>
      <c r="B29" s="80">
        <v>706</v>
      </c>
      <c r="C29" s="77" t="s">
        <v>51</v>
      </c>
      <c r="D29" s="66" t="str">
        <f>VLOOKUP(B:B,[1]查询时间段分门店销售汇总!$B:$F,5,0)</f>
        <v>C2</v>
      </c>
      <c r="E29" s="80" t="s">
        <v>44</v>
      </c>
      <c r="F29" s="66">
        <f t="shared" si="0"/>
        <v>310</v>
      </c>
      <c r="G29" s="68">
        <v>349</v>
      </c>
      <c r="H29" s="68">
        <v>388</v>
      </c>
      <c r="I29" s="68">
        <v>354.2</v>
      </c>
      <c r="J29" s="68"/>
      <c r="K29" s="68"/>
      <c r="L29" s="68"/>
      <c r="M29" s="68">
        <f t="shared" si="1"/>
        <v>354.2</v>
      </c>
      <c r="N29" s="68">
        <f t="shared" si="2"/>
        <v>44.2</v>
      </c>
      <c r="O29" s="68" t="s">
        <v>8</v>
      </c>
      <c r="P29" s="68">
        <f>I29*0.07+J29*0.04+K29*0.05+L29*0.03</f>
        <v>24.794</v>
      </c>
      <c r="Q29" s="68"/>
      <c r="R29" s="66">
        <f t="shared" si="4"/>
        <v>683</v>
      </c>
      <c r="S29" s="68">
        <v>769</v>
      </c>
      <c r="T29" s="94">
        <v>854</v>
      </c>
      <c r="U29" s="32">
        <f>VLOOKUP(B:B,[2]Sheet1!$A$1:$B$65536,2,0)</f>
        <v>62.5</v>
      </c>
      <c r="V29" s="32">
        <f t="shared" si="5"/>
        <v>-620.5</v>
      </c>
      <c r="W29" s="32" t="s">
        <v>25</v>
      </c>
      <c r="X29" s="90">
        <f>U29*0.15</f>
        <v>9.375</v>
      </c>
      <c r="Y29" s="90">
        <f>V29*0.05</f>
        <v>-31.025</v>
      </c>
      <c r="Z29" s="32">
        <f t="shared" si="6"/>
        <v>34</v>
      </c>
      <c r="AA29" s="32">
        <f t="shared" si="7"/>
        <v>-31</v>
      </c>
    </row>
    <row r="30" spans="1:27">
      <c r="A30" s="80">
        <v>27</v>
      </c>
      <c r="B30" s="80">
        <v>710</v>
      </c>
      <c r="C30" s="77" t="s">
        <v>52</v>
      </c>
      <c r="D30" s="66" t="str">
        <f>VLOOKUP(B:B,[1]查询时间段分门店销售汇总!$B:$F,5,0)</f>
        <v>C2</v>
      </c>
      <c r="E30" s="80" t="s">
        <v>44</v>
      </c>
      <c r="F30" s="66">
        <f t="shared" si="0"/>
        <v>329</v>
      </c>
      <c r="G30" s="68">
        <v>370</v>
      </c>
      <c r="H30" s="68">
        <v>411</v>
      </c>
      <c r="I30" s="68">
        <v>297.7</v>
      </c>
      <c r="J30" s="68">
        <v>228.15</v>
      </c>
      <c r="K30" s="68">
        <v>30</v>
      </c>
      <c r="L30" s="68">
        <v>56.1</v>
      </c>
      <c r="M30" s="68">
        <f t="shared" si="1"/>
        <v>611.95</v>
      </c>
      <c r="N30" s="68">
        <f t="shared" si="2"/>
        <v>282.95</v>
      </c>
      <c r="O30" s="68" t="s">
        <v>9</v>
      </c>
      <c r="P30" s="68">
        <f>I30*0.09+J30*0.05+K30*0.06+L30*0.04</f>
        <v>42.2445</v>
      </c>
      <c r="Q30" s="68"/>
      <c r="R30" s="66">
        <f t="shared" si="4"/>
        <v>686</v>
      </c>
      <c r="S30" s="68">
        <v>772</v>
      </c>
      <c r="T30" s="94">
        <v>858</v>
      </c>
      <c r="U30" s="32">
        <f>VLOOKUP(B:B,[2]Sheet1!$A$1:$B$65536,2,0)</f>
        <v>123</v>
      </c>
      <c r="V30" s="32">
        <f t="shared" si="5"/>
        <v>-563</v>
      </c>
      <c r="W30" s="32" t="s">
        <v>25</v>
      </c>
      <c r="X30" s="90">
        <f>U30*0.15</f>
        <v>18.45</v>
      </c>
      <c r="Y30" s="90">
        <f>V30*0.05</f>
        <v>-28.15</v>
      </c>
      <c r="Z30" s="32">
        <f t="shared" si="6"/>
        <v>61</v>
      </c>
      <c r="AA30" s="32">
        <f t="shared" si="7"/>
        <v>-28</v>
      </c>
    </row>
    <row r="31" spans="1:27">
      <c r="A31" s="80">
        <v>28</v>
      </c>
      <c r="B31" s="80">
        <v>713</v>
      </c>
      <c r="C31" s="77" t="s">
        <v>53</v>
      </c>
      <c r="D31" s="66" t="str">
        <f>VLOOKUP(B:B,[1]查询时间段分门店销售汇总!$B:$F,5,0)</f>
        <v>C2</v>
      </c>
      <c r="E31" s="80" t="s">
        <v>44</v>
      </c>
      <c r="F31" s="66">
        <f t="shared" si="0"/>
        <v>202</v>
      </c>
      <c r="G31" s="68">
        <v>228</v>
      </c>
      <c r="H31" s="68">
        <v>253</v>
      </c>
      <c r="I31" s="68">
        <v>241.87</v>
      </c>
      <c r="J31" s="68">
        <v>78.8</v>
      </c>
      <c r="K31" s="68">
        <v>86.33</v>
      </c>
      <c r="L31" s="68">
        <v>168.3</v>
      </c>
      <c r="M31" s="68">
        <f t="shared" si="1"/>
        <v>575.3</v>
      </c>
      <c r="N31" s="68">
        <f t="shared" si="2"/>
        <v>373.3</v>
      </c>
      <c r="O31" s="68" t="s">
        <v>9</v>
      </c>
      <c r="P31" s="68">
        <f>I31*0.09+J31*0.05+K31*0.06+L31*0.04</f>
        <v>37.6201</v>
      </c>
      <c r="Q31" s="68"/>
      <c r="R31" s="66">
        <f t="shared" si="4"/>
        <v>474</v>
      </c>
      <c r="S31" s="68">
        <v>533</v>
      </c>
      <c r="T31" s="94">
        <v>592</v>
      </c>
      <c r="U31" s="32">
        <f>VLOOKUP(B:B,[2]Sheet1!$A$1:$B$65536,2,0)</f>
        <v>731.22</v>
      </c>
      <c r="V31" s="32">
        <f t="shared" si="5"/>
        <v>257.22</v>
      </c>
      <c r="W31" s="32" t="s">
        <v>9</v>
      </c>
      <c r="X31" s="90">
        <f>U31*0.25</f>
        <v>182.805</v>
      </c>
      <c r="Y31" s="90"/>
      <c r="Z31" s="32">
        <f t="shared" si="6"/>
        <v>220</v>
      </c>
      <c r="AA31" s="32">
        <f t="shared" si="7"/>
        <v>0</v>
      </c>
    </row>
    <row r="32" spans="1:27">
      <c r="A32" s="80">
        <v>29</v>
      </c>
      <c r="B32" s="80">
        <v>738</v>
      </c>
      <c r="C32" s="77" t="s">
        <v>54</v>
      </c>
      <c r="D32" s="66" t="str">
        <f>VLOOKUP(B:B,[1]查询时间段分门店销售汇总!$B:$F,5,0)</f>
        <v>C1</v>
      </c>
      <c r="E32" s="80" t="s">
        <v>44</v>
      </c>
      <c r="F32" s="66">
        <f t="shared" si="0"/>
        <v>269</v>
      </c>
      <c r="G32" s="68">
        <v>302</v>
      </c>
      <c r="H32" s="68">
        <v>336</v>
      </c>
      <c r="I32" s="68">
        <v>432.15</v>
      </c>
      <c r="J32" s="68"/>
      <c r="K32" s="68">
        <v>106.5</v>
      </c>
      <c r="L32" s="68"/>
      <c r="M32" s="68">
        <f t="shared" si="1"/>
        <v>538.65</v>
      </c>
      <c r="N32" s="68">
        <f t="shared" si="2"/>
        <v>269.65</v>
      </c>
      <c r="O32" s="68" t="s">
        <v>9</v>
      </c>
      <c r="P32" s="68">
        <f>I32*0.09+J32*0.05+K32*0.06+L32*0.04</f>
        <v>45.2835</v>
      </c>
      <c r="Q32" s="68"/>
      <c r="R32" s="66">
        <f t="shared" si="4"/>
        <v>822</v>
      </c>
      <c r="S32" s="68">
        <v>924</v>
      </c>
      <c r="T32" s="94">
        <v>1027</v>
      </c>
      <c r="U32" s="32">
        <f>VLOOKUP(B:B,[2]Sheet1!$A$1:$B$65536,2,0)</f>
        <v>1343.05</v>
      </c>
      <c r="V32" s="32">
        <f t="shared" si="5"/>
        <v>521.05</v>
      </c>
      <c r="W32" s="32" t="s">
        <v>9</v>
      </c>
      <c r="X32" s="90">
        <f>U32*0.25</f>
        <v>335.7625</v>
      </c>
      <c r="Y32" s="90"/>
      <c r="Z32" s="32">
        <f t="shared" si="6"/>
        <v>381</v>
      </c>
      <c r="AA32" s="32">
        <f t="shared" si="7"/>
        <v>0</v>
      </c>
    </row>
    <row r="33" spans="1:27">
      <c r="A33" s="80">
        <v>30</v>
      </c>
      <c r="B33" s="80">
        <v>329</v>
      </c>
      <c r="C33" s="77" t="s">
        <v>55</v>
      </c>
      <c r="D33" s="66" t="str">
        <f>VLOOKUP(B:B,[1]查询时间段分门店销售汇总!$B:$F,5,0)</f>
        <v>A2</v>
      </c>
      <c r="E33" s="80" t="s">
        <v>44</v>
      </c>
      <c r="F33" s="66">
        <f t="shared" si="0"/>
        <v>439</v>
      </c>
      <c r="G33" s="68">
        <v>494</v>
      </c>
      <c r="H33" s="68">
        <v>549</v>
      </c>
      <c r="I33" s="68">
        <v>205.43</v>
      </c>
      <c r="J33" s="68">
        <v>33.15</v>
      </c>
      <c r="K33" s="68"/>
      <c r="L33" s="68"/>
      <c r="M33" s="68">
        <f t="shared" si="1"/>
        <v>238.58</v>
      </c>
      <c r="N33" s="68">
        <f t="shared" si="2"/>
        <v>-200.42</v>
      </c>
      <c r="O33" s="68" t="s">
        <v>25</v>
      </c>
      <c r="P33" s="68">
        <f>I33*0.05+J33*0.03+K33*0.04+L33*0.02</f>
        <v>11.266</v>
      </c>
      <c r="Q33" s="68">
        <f>N33*0.03</f>
        <v>-6.0126</v>
      </c>
      <c r="R33" s="66">
        <f t="shared" si="4"/>
        <v>1470</v>
      </c>
      <c r="S33" s="68">
        <v>1654</v>
      </c>
      <c r="T33" s="94">
        <v>1838</v>
      </c>
      <c r="U33" s="32">
        <f>VLOOKUP(B:B,[2]Sheet1!$A$1:$B$65536,2,0)</f>
        <v>1722.02</v>
      </c>
      <c r="V33" s="32">
        <f t="shared" si="5"/>
        <v>252.02</v>
      </c>
      <c r="W33" s="32" t="s">
        <v>8</v>
      </c>
      <c r="X33" s="90">
        <f>U33*0.2</f>
        <v>344.404</v>
      </c>
      <c r="Y33" s="90"/>
      <c r="Z33" s="32">
        <f t="shared" si="6"/>
        <v>356</v>
      </c>
      <c r="AA33" s="32">
        <f t="shared" si="7"/>
        <v>-6</v>
      </c>
    </row>
    <row r="34" spans="1:27">
      <c r="A34" s="80">
        <v>31</v>
      </c>
      <c r="B34" s="17">
        <v>754</v>
      </c>
      <c r="C34" s="77" t="s">
        <v>56</v>
      </c>
      <c r="D34" s="66" t="str">
        <f>VLOOKUP(B:B,[1]查询时间段分门店销售汇总!$B:$F,5,0)</f>
        <v>C1</v>
      </c>
      <c r="E34" s="80" t="s">
        <v>44</v>
      </c>
      <c r="F34" s="66">
        <f t="shared" si="0"/>
        <v>286</v>
      </c>
      <c r="G34" s="68">
        <v>321</v>
      </c>
      <c r="H34" s="68">
        <v>357</v>
      </c>
      <c r="I34" s="68">
        <v>778.6</v>
      </c>
      <c r="J34" s="68">
        <v>585.55</v>
      </c>
      <c r="K34" s="68">
        <v>30</v>
      </c>
      <c r="L34" s="68"/>
      <c r="M34" s="68">
        <f t="shared" si="1"/>
        <v>1394.15</v>
      </c>
      <c r="N34" s="68">
        <f t="shared" si="2"/>
        <v>1108.15</v>
      </c>
      <c r="O34" s="68" t="s">
        <v>9</v>
      </c>
      <c r="P34" s="68">
        <f>I34*0.09+J34*0.05+K34*0.06+L34*0.04</f>
        <v>101.1515</v>
      </c>
      <c r="Q34" s="68"/>
      <c r="R34" s="66">
        <f t="shared" si="4"/>
        <v>800</v>
      </c>
      <c r="S34" s="68">
        <v>900</v>
      </c>
      <c r="T34" s="94">
        <v>1000</v>
      </c>
      <c r="U34" s="32">
        <f>VLOOKUP(B:B,[2]Sheet1!$A$1:$B$65536,2,0)</f>
        <v>2275.67</v>
      </c>
      <c r="V34" s="32">
        <f t="shared" si="5"/>
        <v>1475.67</v>
      </c>
      <c r="W34" s="32" t="s">
        <v>9</v>
      </c>
      <c r="X34" s="90">
        <f>U34*0.25</f>
        <v>568.9175</v>
      </c>
      <c r="Y34" s="90"/>
      <c r="Z34" s="32">
        <f t="shared" si="6"/>
        <v>670</v>
      </c>
      <c r="AA34" s="32">
        <f t="shared" si="7"/>
        <v>0</v>
      </c>
    </row>
    <row r="35" spans="1:27">
      <c r="A35" s="80">
        <v>32</v>
      </c>
      <c r="B35" s="17">
        <v>101453</v>
      </c>
      <c r="C35" s="77" t="s">
        <v>57</v>
      </c>
      <c r="D35" s="66" t="str">
        <f>VLOOKUP(B:B,[1]查询时间段分门店销售汇总!$B:$F,5,0)</f>
        <v>B2</v>
      </c>
      <c r="E35" s="80" t="s">
        <v>44</v>
      </c>
      <c r="F35" s="66">
        <f t="shared" ref="F35:F74" si="9">ROUND(H35*0.8,0)</f>
        <v>262</v>
      </c>
      <c r="G35" s="68">
        <v>295</v>
      </c>
      <c r="H35" s="68">
        <v>328</v>
      </c>
      <c r="I35" s="68">
        <v>935.19</v>
      </c>
      <c r="J35" s="68">
        <v>211.4</v>
      </c>
      <c r="K35" s="68">
        <v>89.5</v>
      </c>
      <c r="L35" s="68">
        <v>68</v>
      </c>
      <c r="M35" s="68">
        <f t="shared" si="1"/>
        <v>1304.09</v>
      </c>
      <c r="N35" s="68">
        <f t="shared" si="2"/>
        <v>1042.09</v>
      </c>
      <c r="O35" s="68" t="s">
        <v>9</v>
      </c>
      <c r="P35" s="68">
        <f>I35*0.09+J35*0.05+K35*0.06+L35*0.04</f>
        <v>102.8271</v>
      </c>
      <c r="Q35" s="68"/>
      <c r="R35" s="66">
        <f t="shared" ref="R35:R74" si="10">ROUND(T35*0.8,0)</f>
        <v>476</v>
      </c>
      <c r="S35" s="68">
        <v>536</v>
      </c>
      <c r="T35" s="94">
        <v>595</v>
      </c>
      <c r="U35" s="32">
        <f>VLOOKUP(B:B,[2]Sheet1!$A$1:$B$65536,2,0)</f>
        <v>891.5</v>
      </c>
      <c r="V35" s="32">
        <f t="shared" si="5"/>
        <v>415.5</v>
      </c>
      <c r="W35" s="32" t="s">
        <v>9</v>
      </c>
      <c r="X35" s="90">
        <f>U35*0.25</f>
        <v>222.875</v>
      </c>
      <c r="Y35" s="90"/>
      <c r="Z35" s="32">
        <f t="shared" si="6"/>
        <v>326</v>
      </c>
      <c r="AA35" s="32">
        <f t="shared" si="7"/>
        <v>0</v>
      </c>
    </row>
    <row r="36" spans="1:27">
      <c r="A36" s="80">
        <v>33</v>
      </c>
      <c r="B36" s="17">
        <v>104428</v>
      </c>
      <c r="C36" s="81" t="s">
        <v>58</v>
      </c>
      <c r="D36" s="16"/>
      <c r="E36" s="80" t="s">
        <v>44</v>
      </c>
      <c r="F36" s="66">
        <f t="shared" si="9"/>
        <v>120</v>
      </c>
      <c r="G36" s="68">
        <v>135</v>
      </c>
      <c r="H36" s="68">
        <v>150</v>
      </c>
      <c r="I36" s="68">
        <v>444.29</v>
      </c>
      <c r="J36" s="68">
        <v>150.15</v>
      </c>
      <c r="K36" s="68"/>
      <c r="L36" s="68"/>
      <c r="M36" s="68">
        <f t="shared" ref="M36:M67" si="11">L36+K36+J36+I36</f>
        <v>594.44</v>
      </c>
      <c r="N36" s="68">
        <f t="shared" ref="N36:N67" si="12">M36-F36</f>
        <v>474.44</v>
      </c>
      <c r="O36" s="68" t="s">
        <v>9</v>
      </c>
      <c r="P36" s="68">
        <f>I36*0.09+J36*0.05+K36*0.06+L36*0.04</f>
        <v>47.4936</v>
      </c>
      <c r="Q36" s="68"/>
      <c r="R36" s="66">
        <f t="shared" si="10"/>
        <v>776</v>
      </c>
      <c r="S36" s="68">
        <v>873</v>
      </c>
      <c r="T36" s="94">
        <v>970</v>
      </c>
      <c r="U36" s="32">
        <f>VLOOKUP(B:B,[2]Sheet1!$A$1:$B$65536,2,0)</f>
        <v>1305.26</v>
      </c>
      <c r="V36" s="32">
        <f t="shared" ref="V36:V67" si="13">U36-R36</f>
        <v>529.26</v>
      </c>
      <c r="W36" s="32" t="s">
        <v>9</v>
      </c>
      <c r="X36" s="90">
        <f>U36*0.25</f>
        <v>326.315</v>
      </c>
      <c r="Y36" s="90"/>
      <c r="Z36" s="32">
        <f t="shared" ref="Z36:Z67" si="14">ROUND(P36+X36,0)</f>
        <v>374</v>
      </c>
      <c r="AA36" s="32">
        <f t="shared" ref="AA36:AA67" si="15">ROUND(Q36+Y36,0)</f>
        <v>0</v>
      </c>
    </row>
    <row r="37" spans="1:27">
      <c r="A37" s="80">
        <v>34</v>
      </c>
      <c r="B37" s="16">
        <v>104838</v>
      </c>
      <c r="C37" s="77" t="s">
        <v>59</v>
      </c>
      <c r="D37" s="66"/>
      <c r="E37" s="80" t="s">
        <v>44</v>
      </c>
      <c r="F37" s="66">
        <f t="shared" si="9"/>
        <v>0</v>
      </c>
      <c r="G37" s="68">
        <v>0</v>
      </c>
      <c r="H37" s="68">
        <v>0</v>
      </c>
      <c r="I37" s="68">
        <v>453.52</v>
      </c>
      <c r="J37" s="68">
        <v>72.15</v>
      </c>
      <c r="K37" s="68">
        <v>55.5</v>
      </c>
      <c r="L37" s="68"/>
      <c r="M37" s="68">
        <f t="shared" si="11"/>
        <v>581.17</v>
      </c>
      <c r="N37" s="68">
        <f t="shared" si="12"/>
        <v>581.17</v>
      </c>
      <c r="O37" s="68" t="s">
        <v>7</v>
      </c>
      <c r="P37" s="68">
        <f>I37*0.05+J37*0.03+K37*0.04+L37*0.02</f>
        <v>27.0605</v>
      </c>
      <c r="Q37" s="68"/>
      <c r="R37" s="66">
        <f t="shared" si="10"/>
        <v>0</v>
      </c>
      <c r="S37" s="68">
        <v>0</v>
      </c>
      <c r="T37" s="91">
        <v>0</v>
      </c>
      <c r="U37" s="32">
        <f>VLOOKUP(B:B,[2]Sheet1!$A$1:$B$65536,2,0)</f>
        <v>275</v>
      </c>
      <c r="V37" s="32">
        <f t="shared" si="13"/>
        <v>275</v>
      </c>
      <c r="W37" s="32" t="s">
        <v>7</v>
      </c>
      <c r="X37" s="90">
        <f>U37*0.15</f>
        <v>41.25</v>
      </c>
      <c r="Y37" s="90"/>
      <c r="Z37" s="32">
        <f t="shared" si="14"/>
        <v>68</v>
      </c>
      <c r="AA37" s="32">
        <f t="shared" si="15"/>
        <v>0</v>
      </c>
    </row>
    <row r="38" s="56" customFormat="1" spans="1:27">
      <c r="A38" s="78"/>
      <c r="B38" s="78"/>
      <c r="C38" s="60"/>
      <c r="D38" s="79"/>
      <c r="E38" s="78" t="s">
        <v>44</v>
      </c>
      <c r="F38" s="79">
        <f>SUM(F22:F37)</f>
        <v>5391</v>
      </c>
      <c r="G38" s="79">
        <f t="shared" ref="G38:AA38" si="16">SUM(G22:G37)</f>
        <v>6068</v>
      </c>
      <c r="H38" s="79">
        <f t="shared" si="16"/>
        <v>6742</v>
      </c>
      <c r="I38" s="79">
        <f t="shared" si="16"/>
        <v>6937.16</v>
      </c>
      <c r="J38" s="79">
        <f t="shared" si="16"/>
        <v>3271.88</v>
      </c>
      <c r="K38" s="79">
        <f t="shared" si="16"/>
        <v>611.83</v>
      </c>
      <c r="L38" s="79">
        <f t="shared" si="16"/>
        <v>406.4</v>
      </c>
      <c r="M38" s="79">
        <f t="shared" si="16"/>
        <v>11227.27</v>
      </c>
      <c r="N38" s="79">
        <f t="shared" si="16"/>
        <v>5836.27</v>
      </c>
      <c r="O38" s="79">
        <f t="shared" si="16"/>
        <v>0</v>
      </c>
      <c r="P38" s="79">
        <f t="shared" si="16"/>
        <v>768.366</v>
      </c>
      <c r="Q38" s="79">
        <f t="shared" si="16"/>
        <v>-6.4971</v>
      </c>
      <c r="R38" s="79">
        <f t="shared" si="16"/>
        <v>14270</v>
      </c>
      <c r="S38" s="79">
        <f t="shared" si="16"/>
        <v>16053</v>
      </c>
      <c r="T38" s="79">
        <f t="shared" si="16"/>
        <v>17837</v>
      </c>
      <c r="U38" s="79">
        <f t="shared" si="16"/>
        <v>20682.17</v>
      </c>
      <c r="V38" s="79">
        <f t="shared" si="16"/>
        <v>6412.17</v>
      </c>
      <c r="W38" s="79">
        <f t="shared" si="16"/>
        <v>0</v>
      </c>
      <c r="X38" s="79">
        <f t="shared" si="16"/>
        <v>4703.55</v>
      </c>
      <c r="Y38" s="79">
        <f t="shared" si="16"/>
        <v>-89.475</v>
      </c>
      <c r="Z38" s="79">
        <f t="shared" si="16"/>
        <v>5472</v>
      </c>
      <c r="AA38" s="79">
        <f t="shared" si="16"/>
        <v>-95</v>
      </c>
    </row>
    <row r="39" spans="1:27">
      <c r="A39" s="80">
        <v>35</v>
      </c>
      <c r="B39" s="80">
        <v>355</v>
      </c>
      <c r="C39" s="77" t="s">
        <v>60</v>
      </c>
      <c r="D39" s="66" t="str">
        <f>VLOOKUP(B:B,[1]查询时间段分门店销售汇总!$B:$F,5,0)</f>
        <v>A2</v>
      </c>
      <c r="E39" s="80" t="s">
        <v>61</v>
      </c>
      <c r="F39" s="66">
        <f t="shared" si="9"/>
        <v>656</v>
      </c>
      <c r="G39" s="68">
        <v>738</v>
      </c>
      <c r="H39" s="68">
        <v>820</v>
      </c>
      <c r="I39" s="68">
        <v>360.7</v>
      </c>
      <c r="J39" s="68"/>
      <c r="K39" s="68">
        <v>274</v>
      </c>
      <c r="L39" s="68">
        <v>264</v>
      </c>
      <c r="M39" s="68">
        <f t="shared" si="11"/>
        <v>898.7</v>
      </c>
      <c r="N39" s="68">
        <f t="shared" si="12"/>
        <v>242.7</v>
      </c>
      <c r="O39" s="68" t="s">
        <v>9</v>
      </c>
      <c r="P39" s="68">
        <f>I39*0.09+J39*0.05+K39*0.06+L39*0.04</f>
        <v>59.463</v>
      </c>
      <c r="Q39" s="68"/>
      <c r="R39" s="66">
        <f t="shared" si="10"/>
        <v>1624</v>
      </c>
      <c r="S39" s="68">
        <v>1827</v>
      </c>
      <c r="T39" s="94">
        <v>2030</v>
      </c>
      <c r="U39" s="32">
        <f>VLOOKUP(B:B,[2]Sheet1!$A$1:$B$65536,2,0)</f>
        <v>1286.5</v>
      </c>
      <c r="V39" s="32">
        <f t="shared" si="13"/>
        <v>-337.5</v>
      </c>
      <c r="W39" s="32" t="s">
        <v>25</v>
      </c>
      <c r="X39" s="90">
        <f>U39*0.15</f>
        <v>192.975</v>
      </c>
      <c r="Y39" s="90">
        <f>V39*0.05</f>
        <v>-16.875</v>
      </c>
      <c r="Z39" s="32">
        <f t="shared" si="14"/>
        <v>252</v>
      </c>
      <c r="AA39" s="32">
        <f t="shared" si="15"/>
        <v>-17</v>
      </c>
    </row>
    <row r="40" spans="1:27">
      <c r="A40" s="80">
        <v>36</v>
      </c>
      <c r="B40" s="80">
        <v>373</v>
      </c>
      <c r="C40" s="77" t="s">
        <v>62</v>
      </c>
      <c r="D40" s="66" t="str">
        <f>VLOOKUP(B:B,[1]查询时间段分门店销售汇总!$B:$F,5,0)</f>
        <v>B1</v>
      </c>
      <c r="E40" s="80" t="s">
        <v>61</v>
      </c>
      <c r="F40" s="66">
        <f t="shared" si="9"/>
        <v>825</v>
      </c>
      <c r="G40" s="68">
        <v>928</v>
      </c>
      <c r="H40" s="68">
        <v>1031</v>
      </c>
      <c r="I40" s="68">
        <v>1090.64</v>
      </c>
      <c r="J40" s="68">
        <v>117</v>
      </c>
      <c r="K40" s="68">
        <v>30.52</v>
      </c>
      <c r="L40" s="68">
        <v>204</v>
      </c>
      <c r="M40" s="68">
        <f t="shared" si="11"/>
        <v>1442.16</v>
      </c>
      <c r="N40" s="68">
        <f t="shared" si="12"/>
        <v>617.16</v>
      </c>
      <c r="O40" s="68" t="s">
        <v>9</v>
      </c>
      <c r="P40" s="68">
        <f>I40*0.09+J40*0.05+K40*0.06+L40*0.04</f>
        <v>113.9988</v>
      </c>
      <c r="Q40" s="68"/>
      <c r="R40" s="66">
        <f t="shared" si="10"/>
        <v>1715</v>
      </c>
      <c r="S40" s="68">
        <v>1930</v>
      </c>
      <c r="T40" s="94">
        <v>2144</v>
      </c>
      <c r="U40" s="32">
        <f>VLOOKUP(B:B,[2]Sheet1!$A$1:$B$65536,2,0)</f>
        <v>266</v>
      </c>
      <c r="V40" s="32">
        <f t="shared" si="13"/>
        <v>-1449</v>
      </c>
      <c r="W40" s="32" t="s">
        <v>25</v>
      </c>
      <c r="X40" s="90">
        <f>U40*0.15</f>
        <v>39.9</v>
      </c>
      <c r="Y40" s="90">
        <f>V40*0.05</f>
        <v>-72.45</v>
      </c>
      <c r="Z40" s="32">
        <f t="shared" si="14"/>
        <v>154</v>
      </c>
      <c r="AA40" s="32">
        <f t="shared" si="15"/>
        <v>-72</v>
      </c>
    </row>
    <row r="41" spans="1:27">
      <c r="A41" s="80">
        <v>37</v>
      </c>
      <c r="B41" s="80">
        <v>511</v>
      </c>
      <c r="C41" s="77" t="s">
        <v>63</v>
      </c>
      <c r="D41" s="66" t="str">
        <f>VLOOKUP(B:B,[1]查询时间段分门店销售汇总!$B:$F,5,0)</f>
        <v>B2 </v>
      </c>
      <c r="E41" s="80" t="s">
        <v>61</v>
      </c>
      <c r="F41" s="66">
        <f t="shared" si="9"/>
        <v>517</v>
      </c>
      <c r="G41" s="68">
        <v>581</v>
      </c>
      <c r="H41" s="68">
        <v>646</v>
      </c>
      <c r="I41" s="68">
        <v>909.25</v>
      </c>
      <c r="J41" s="68">
        <v>267.95</v>
      </c>
      <c r="K41" s="68">
        <v>243.5</v>
      </c>
      <c r="L41" s="68">
        <v>66</v>
      </c>
      <c r="M41" s="68">
        <f t="shared" si="11"/>
        <v>1486.7</v>
      </c>
      <c r="N41" s="68">
        <f t="shared" si="12"/>
        <v>969.7</v>
      </c>
      <c r="O41" s="68" t="s">
        <v>9</v>
      </c>
      <c r="P41" s="68">
        <f>I41*0.09+J41*0.05+K41*0.06+L41*0.04</f>
        <v>112.48</v>
      </c>
      <c r="Q41" s="68"/>
      <c r="R41" s="66">
        <f t="shared" si="10"/>
        <v>1168</v>
      </c>
      <c r="S41" s="68">
        <v>1314</v>
      </c>
      <c r="T41" s="94">
        <v>1460</v>
      </c>
      <c r="U41" s="32">
        <f>VLOOKUP(B:B,[2]Sheet1!$A$1:$B$65536,2,0)</f>
        <v>993.25</v>
      </c>
      <c r="V41" s="32">
        <f t="shared" si="13"/>
        <v>-174.75</v>
      </c>
      <c r="W41" s="32" t="s">
        <v>25</v>
      </c>
      <c r="X41" s="90">
        <f>U41*0.15</f>
        <v>148.9875</v>
      </c>
      <c r="Y41" s="90">
        <f>V41*0.05</f>
        <v>-8.7375</v>
      </c>
      <c r="Z41" s="32">
        <f t="shared" si="14"/>
        <v>261</v>
      </c>
      <c r="AA41" s="32">
        <f t="shared" si="15"/>
        <v>-9</v>
      </c>
    </row>
    <row r="42" spans="1:27">
      <c r="A42" s="80">
        <v>38</v>
      </c>
      <c r="B42" s="80">
        <v>515</v>
      </c>
      <c r="C42" s="77" t="s">
        <v>64</v>
      </c>
      <c r="D42" s="66" t="str">
        <f>VLOOKUP(B:B,[1]查询时间段分门店销售汇总!$B:$F,5,0)</f>
        <v>B1</v>
      </c>
      <c r="E42" s="80" t="s">
        <v>61</v>
      </c>
      <c r="F42" s="66">
        <f t="shared" si="9"/>
        <v>640</v>
      </c>
      <c r="G42" s="68">
        <v>720</v>
      </c>
      <c r="H42" s="68">
        <v>800</v>
      </c>
      <c r="I42" s="68">
        <v>1184.79</v>
      </c>
      <c r="J42" s="68">
        <v>385.75</v>
      </c>
      <c r="K42" s="68">
        <v>149.5</v>
      </c>
      <c r="L42" s="68">
        <v>56.1</v>
      </c>
      <c r="M42" s="68">
        <f t="shared" si="11"/>
        <v>1776.14</v>
      </c>
      <c r="N42" s="68">
        <f t="shared" si="12"/>
        <v>1136.14</v>
      </c>
      <c r="O42" s="68" t="s">
        <v>9</v>
      </c>
      <c r="P42" s="68">
        <f>I42*0.09+J42*0.05+K42*0.06+L42*0.04</f>
        <v>137.1326</v>
      </c>
      <c r="Q42" s="68"/>
      <c r="R42" s="66">
        <f t="shared" si="10"/>
        <v>1386</v>
      </c>
      <c r="S42" s="68">
        <v>1560</v>
      </c>
      <c r="T42" s="94">
        <v>1733</v>
      </c>
      <c r="U42" s="32">
        <f>VLOOKUP(B:B,[2]Sheet1!$A$1:$B$65536,2,0)</f>
        <v>2426</v>
      </c>
      <c r="V42" s="32">
        <f t="shared" si="13"/>
        <v>1040</v>
      </c>
      <c r="W42" s="32" t="s">
        <v>9</v>
      </c>
      <c r="X42" s="90">
        <f>U42*0.25</f>
        <v>606.5</v>
      </c>
      <c r="Y42" s="90"/>
      <c r="Z42" s="32">
        <f t="shared" si="14"/>
        <v>744</v>
      </c>
      <c r="AA42" s="32">
        <f t="shared" si="15"/>
        <v>0</v>
      </c>
    </row>
    <row r="43" spans="1:27">
      <c r="A43" s="80">
        <v>39</v>
      </c>
      <c r="B43" s="80">
        <v>572</v>
      </c>
      <c r="C43" s="77" t="s">
        <v>65</v>
      </c>
      <c r="D43" s="66" t="str">
        <f>VLOOKUP(B:B,[1]查询时间段分门店销售汇总!$B:$F,5,0)</f>
        <v>B1</v>
      </c>
      <c r="E43" s="80" t="s">
        <v>61</v>
      </c>
      <c r="F43" s="66">
        <f t="shared" si="9"/>
        <v>482</v>
      </c>
      <c r="G43" s="68">
        <v>542</v>
      </c>
      <c r="H43" s="68">
        <v>602</v>
      </c>
      <c r="I43" s="68">
        <v>517.15</v>
      </c>
      <c r="J43" s="68">
        <v>105.3</v>
      </c>
      <c r="K43" s="68">
        <v>55.5</v>
      </c>
      <c r="L43" s="68">
        <v>56.1</v>
      </c>
      <c r="M43" s="68">
        <f t="shared" si="11"/>
        <v>734.05</v>
      </c>
      <c r="N43" s="68">
        <f t="shared" si="12"/>
        <v>252.05</v>
      </c>
      <c r="O43" s="68" t="s">
        <v>9</v>
      </c>
      <c r="P43" s="68">
        <f>I43*0.09+J43*0.05+K43*0.06+L43*0.04</f>
        <v>57.3825</v>
      </c>
      <c r="Q43" s="68"/>
      <c r="R43" s="66">
        <f t="shared" si="10"/>
        <v>1258</v>
      </c>
      <c r="S43" s="68">
        <v>1415</v>
      </c>
      <c r="T43" s="94">
        <v>1572</v>
      </c>
      <c r="U43" s="32">
        <f>VLOOKUP(B:B,[2]Sheet1!$A$1:$B$65536,2,0)</f>
        <v>4214.5</v>
      </c>
      <c r="V43" s="32">
        <f t="shared" si="13"/>
        <v>2956.5</v>
      </c>
      <c r="W43" s="32" t="s">
        <v>9</v>
      </c>
      <c r="X43" s="90">
        <f>U43*0.25</f>
        <v>1053.625</v>
      </c>
      <c r="Y43" s="90"/>
      <c r="Z43" s="32">
        <f t="shared" si="14"/>
        <v>1111</v>
      </c>
      <c r="AA43" s="32">
        <f t="shared" si="15"/>
        <v>0</v>
      </c>
    </row>
    <row r="44" spans="1:27">
      <c r="A44" s="80">
        <v>40</v>
      </c>
      <c r="B44" s="80">
        <v>578</v>
      </c>
      <c r="C44" s="77" t="s">
        <v>66</v>
      </c>
      <c r="D44" s="66" t="str">
        <f>VLOOKUP(B:B,[1]查询时间段分门店销售汇总!$B:$F,5,0)</f>
        <v>A2</v>
      </c>
      <c r="E44" s="80" t="s">
        <v>61</v>
      </c>
      <c r="F44" s="66">
        <f t="shared" si="9"/>
        <v>712</v>
      </c>
      <c r="G44" s="68">
        <v>801</v>
      </c>
      <c r="H44" s="68">
        <v>890</v>
      </c>
      <c r="I44" s="68">
        <v>340.1</v>
      </c>
      <c r="J44" s="68">
        <v>254.93</v>
      </c>
      <c r="K44" s="68">
        <v>30</v>
      </c>
      <c r="L44" s="68"/>
      <c r="M44" s="68">
        <f t="shared" si="11"/>
        <v>625.03</v>
      </c>
      <c r="N44" s="68">
        <f t="shared" si="12"/>
        <v>-86.97</v>
      </c>
      <c r="O44" s="68" t="s">
        <v>25</v>
      </c>
      <c r="P44" s="68">
        <f>I44*0.05+J44*0.03+K44*0.04+L44*0.02</f>
        <v>25.8529</v>
      </c>
      <c r="Q44" s="68">
        <f>N44*0.03</f>
        <v>-2.6091</v>
      </c>
      <c r="R44" s="66">
        <f t="shared" si="10"/>
        <v>1218</v>
      </c>
      <c r="S44" s="68">
        <v>1371</v>
      </c>
      <c r="T44" s="94">
        <v>1523</v>
      </c>
      <c r="U44" s="32">
        <f>VLOOKUP(B:B,[2]Sheet1!$A$1:$B$65536,2,0)</f>
        <v>182.5</v>
      </c>
      <c r="V44" s="32">
        <f t="shared" si="13"/>
        <v>-1035.5</v>
      </c>
      <c r="W44" s="32" t="s">
        <v>25</v>
      </c>
      <c r="X44" s="90">
        <f>U44*0.15</f>
        <v>27.375</v>
      </c>
      <c r="Y44" s="90">
        <f>V44*0.05</f>
        <v>-51.775</v>
      </c>
      <c r="Z44" s="32">
        <f t="shared" si="14"/>
        <v>53</v>
      </c>
      <c r="AA44" s="32">
        <f t="shared" si="15"/>
        <v>-54</v>
      </c>
    </row>
    <row r="45" spans="1:27">
      <c r="A45" s="80">
        <v>41</v>
      </c>
      <c r="B45" s="80">
        <v>723</v>
      </c>
      <c r="C45" s="77" t="s">
        <v>67</v>
      </c>
      <c r="D45" s="66" t="str">
        <f>VLOOKUP(B:B,[1]查询时间段分门店销售汇总!$B:$F,5,0)</f>
        <v>C2</v>
      </c>
      <c r="E45" s="80" t="s">
        <v>61</v>
      </c>
      <c r="F45" s="66">
        <f t="shared" si="9"/>
        <v>282</v>
      </c>
      <c r="G45" s="68">
        <v>317</v>
      </c>
      <c r="H45" s="68">
        <v>352</v>
      </c>
      <c r="I45" s="68">
        <v>728.45</v>
      </c>
      <c r="J45" s="68">
        <v>111.15</v>
      </c>
      <c r="K45" s="68">
        <v>22.99</v>
      </c>
      <c r="L45" s="68"/>
      <c r="M45" s="68">
        <f t="shared" si="11"/>
        <v>862.59</v>
      </c>
      <c r="N45" s="68">
        <f t="shared" si="12"/>
        <v>580.59</v>
      </c>
      <c r="O45" s="68" t="s">
        <v>9</v>
      </c>
      <c r="P45" s="68">
        <f>I45*0.09+J45*0.05+K45*0.06+L45*0.04</f>
        <v>72.4974</v>
      </c>
      <c r="Q45" s="68"/>
      <c r="R45" s="66">
        <f t="shared" si="10"/>
        <v>528</v>
      </c>
      <c r="S45" s="68">
        <v>594</v>
      </c>
      <c r="T45" s="94">
        <v>660</v>
      </c>
      <c r="U45" s="32">
        <f>VLOOKUP(B:B,[2]Sheet1!$A$1:$B$65536,2,0)</f>
        <v>763.5</v>
      </c>
      <c r="V45" s="32">
        <f t="shared" si="13"/>
        <v>235.5</v>
      </c>
      <c r="W45" s="32" t="s">
        <v>9</v>
      </c>
      <c r="X45" s="90">
        <f>U45*0.25</f>
        <v>190.875</v>
      </c>
      <c r="Y45" s="90"/>
      <c r="Z45" s="32">
        <f t="shared" si="14"/>
        <v>263</v>
      </c>
      <c r="AA45" s="32">
        <f t="shared" si="15"/>
        <v>0</v>
      </c>
    </row>
    <row r="46" spans="1:27">
      <c r="A46" s="80">
        <v>42</v>
      </c>
      <c r="B46" s="80">
        <v>718</v>
      </c>
      <c r="C46" s="77" t="s">
        <v>68</v>
      </c>
      <c r="D46" s="66" t="str">
        <f>VLOOKUP(B:B,[1]查询时间段分门店销售汇总!$B:$F,5,0)</f>
        <v>C2</v>
      </c>
      <c r="E46" s="80" t="s">
        <v>61</v>
      </c>
      <c r="F46" s="66">
        <f t="shared" si="9"/>
        <v>234</v>
      </c>
      <c r="G46" s="68">
        <v>264</v>
      </c>
      <c r="H46" s="68">
        <v>293</v>
      </c>
      <c r="I46" s="68">
        <v>129.56</v>
      </c>
      <c r="J46" s="68"/>
      <c r="K46" s="68"/>
      <c r="L46" s="68"/>
      <c r="M46" s="68">
        <f t="shared" si="11"/>
        <v>129.56</v>
      </c>
      <c r="N46" s="68">
        <f t="shared" si="12"/>
        <v>-104.44</v>
      </c>
      <c r="O46" s="68" t="s">
        <v>25</v>
      </c>
      <c r="P46" s="68">
        <f>I46*0.05+J46*0.03+K46*0.04+L46*0.02</f>
        <v>6.478</v>
      </c>
      <c r="Q46" s="68">
        <f>N46*0.03</f>
        <v>-3.1332</v>
      </c>
      <c r="R46" s="66">
        <f t="shared" si="10"/>
        <v>645</v>
      </c>
      <c r="S46" s="68">
        <v>725</v>
      </c>
      <c r="T46" s="94">
        <v>806</v>
      </c>
      <c r="U46" s="32">
        <f>VLOOKUP(B:B,[2]Sheet1!$A$1:$B$65536,2,0)</f>
        <v>30.5</v>
      </c>
      <c r="V46" s="32">
        <f t="shared" si="13"/>
        <v>-614.5</v>
      </c>
      <c r="W46" s="32" t="s">
        <v>25</v>
      </c>
      <c r="X46" s="90">
        <f>U46*0.15</f>
        <v>4.575</v>
      </c>
      <c r="Y46" s="90">
        <f>V46*0.05</f>
        <v>-30.725</v>
      </c>
      <c r="Z46" s="32">
        <f t="shared" si="14"/>
        <v>11</v>
      </c>
      <c r="AA46" s="32">
        <f t="shared" si="15"/>
        <v>-34</v>
      </c>
    </row>
    <row r="47" spans="1:27">
      <c r="A47" s="80">
        <v>43</v>
      </c>
      <c r="B47" s="80">
        <v>747</v>
      </c>
      <c r="C47" s="77" t="s">
        <v>69</v>
      </c>
      <c r="D47" s="66" t="str">
        <f>VLOOKUP(B:B,[1]查询时间段分门店销售汇总!$B:$F,5,0)</f>
        <v>C1</v>
      </c>
      <c r="E47" s="80" t="s">
        <v>61</v>
      </c>
      <c r="F47" s="66">
        <f t="shared" si="9"/>
        <v>350</v>
      </c>
      <c r="G47" s="68">
        <v>394</v>
      </c>
      <c r="H47" s="68">
        <v>438</v>
      </c>
      <c r="I47" s="68">
        <v>258.6</v>
      </c>
      <c r="J47" s="68">
        <v>189.95</v>
      </c>
      <c r="K47" s="68"/>
      <c r="L47" s="68">
        <v>66</v>
      </c>
      <c r="M47" s="68">
        <f t="shared" si="11"/>
        <v>514.55</v>
      </c>
      <c r="N47" s="68">
        <f t="shared" si="12"/>
        <v>164.55</v>
      </c>
      <c r="O47" s="68" t="s">
        <v>9</v>
      </c>
      <c r="P47" s="68">
        <f t="shared" ref="P47:P52" si="17">I47*0.09+J47*0.05+K47*0.06+L47*0.04</f>
        <v>35.4115</v>
      </c>
      <c r="Q47" s="68"/>
      <c r="R47" s="66">
        <f t="shared" si="10"/>
        <v>1151</v>
      </c>
      <c r="S47" s="68">
        <v>1295</v>
      </c>
      <c r="T47" s="94">
        <v>1439</v>
      </c>
      <c r="U47" s="32">
        <f>VLOOKUP(B:B,[2]Sheet1!$A$1:$B$65536,2,0)</f>
        <v>1554.45</v>
      </c>
      <c r="V47" s="32">
        <f t="shared" si="13"/>
        <v>403.45</v>
      </c>
      <c r="W47" s="32" t="s">
        <v>9</v>
      </c>
      <c r="X47" s="90">
        <f>U47*0.25</f>
        <v>388.6125</v>
      </c>
      <c r="Y47" s="90"/>
      <c r="Z47" s="32">
        <f t="shared" si="14"/>
        <v>424</v>
      </c>
      <c r="AA47" s="32">
        <f t="shared" si="15"/>
        <v>0</v>
      </c>
    </row>
    <row r="48" spans="1:27">
      <c r="A48" s="80">
        <v>44</v>
      </c>
      <c r="B48" s="80">
        <v>308</v>
      </c>
      <c r="C48" s="77" t="s">
        <v>70</v>
      </c>
      <c r="D48" s="66" t="str">
        <f>VLOOKUP(B:B,[1]查询时间段分门店销售汇总!$B:$F,5,0)</f>
        <v>A2</v>
      </c>
      <c r="E48" s="80" t="s">
        <v>61</v>
      </c>
      <c r="F48" s="66">
        <f t="shared" si="9"/>
        <v>471</v>
      </c>
      <c r="G48" s="68">
        <v>530</v>
      </c>
      <c r="H48" s="68">
        <v>589</v>
      </c>
      <c r="I48" s="68">
        <v>1178.05</v>
      </c>
      <c r="J48" s="68">
        <v>79.6</v>
      </c>
      <c r="K48" s="68">
        <v>62</v>
      </c>
      <c r="L48" s="68"/>
      <c r="M48" s="68">
        <f t="shared" si="11"/>
        <v>1319.65</v>
      </c>
      <c r="N48" s="68">
        <f t="shared" si="12"/>
        <v>848.65</v>
      </c>
      <c r="O48" s="68" t="s">
        <v>9</v>
      </c>
      <c r="P48" s="68">
        <f t="shared" si="17"/>
        <v>113.7245</v>
      </c>
      <c r="Q48" s="68"/>
      <c r="R48" s="66">
        <f t="shared" si="10"/>
        <v>1441</v>
      </c>
      <c r="S48" s="68">
        <v>1621</v>
      </c>
      <c r="T48" s="94">
        <v>1801</v>
      </c>
      <c r="U48" s="32">
        <f>VLOOKUP(B:B,[2]Sheet1!$A$1:$B$65536,2,0)</f>
        <v>711.5</v>
      </c>
      <c r="V48" s="32">
        <f t="shared" si="13"/>
        <v>-729.5</v>
      </c>
      <c r="W48" s="32" t="s">
        <v>25</v>
      </c>
      <c r="X48" s="90">
        <f>U48*0.15</f>
        <v>106.725</v>
      </c>
      <c r="Y48" s="90">
        <f>V48*0.05</f>
        <v>-36.475</v>
      </c>
      <c r="Z48" s="32">
        <f t="shared" si="14"/>
        <v>220</v>
      </c>
      <c r="AA48" s="32">
        <f t="shared" si="15"/>
        <v>-36</v>
      </c>
    </row>
    <row r="49" spans="1:27">
      <c r="A49" s="80">
        <v>45</v>
      </c>
      <c r="B49" s="80">
        <v>349</v>
      </c>
      <c r="C49" s="77" t="s">
        <v>71</v>
      </c>
      <c r="D49" s="66" t="str">
        <f>VLOOKUP(B:B,[1]查询时间段分门店销售汇总!$B:$F,5,0)</f>
        <v>B1</v>
      </c>
      <c r="E49" s="80" t="s">
        <v>61</v>
      </c>
      <c r="F49" s="66">
        <f t="shared" si="9"/>
        <v>500</v>
      </c>
      <c r="G49" s="68">
        <v>563</v>
      </c>
      <c r="H49" s="68">
        <v>625</v>
      </c>
      <c r="I49" s="68">
        <v>1032.38</v>
      </c>
      <c r="J49" s="68">
        <v>277.81</v>
      </c>
      <c r="K49" s="68">
        <v>160</v>
      </c>
      <c r="L49" s="68">
        <v>181.2</v>
      </c>
      <c r="M49" s="68">
        <f t="shared" si="11"/>
        <v>1651.39</v>
      </c>
      <c r="N49" s="68">
        <f t="shared" si="12"/>
        <v>1151.39</v>
      </c>
      <c r="O49" s="68" t="s">
        <v>9</v>
      </c>
      <c r="P49" s="68">
        <f t="shared" si="17"/>
        <v>123.6527</v>
      </c>
      <c r="Q49" s="68"/>
      <c r="R49" s="66">
        <f t="shared" si="10"/>
        <v>1300</v>
      </c>
      <c r="S49" s="68">
        <v>1463</v>
      </c>
      <c r="T49" s="94">
        <v>1625</v>
      </c>
      <c r="U49" s="32">
        <f>VLOOKUP(B:B,[2]Sheet1!$A$1:$B$65536,2,0)</f>
        <v>2839.02</v>
      </c>
      <c r="V49" s="32">
        <f t="shared" si="13"/>
        <v>1539.02</v>
      </c>
      <c r="W49" s="32" t="s">
        <v>9</v>
      </c>
      <c r="X49" s="90">
        <f>U49*0.25</f>
        <v>709.755</v>
      </c>
      <c r="Y49" s="90"/>
      <c r="Z49" s="32">
        <f t="shared" si="14"/>
        <v>833</v>
      </c>
      <c r="AA49" s="32">
        <f t="shared" si="15"/>
        <v>0</v>
      </c>
    </row>
    <row r="50" spans="1:27">
      <c r="A50" s="80">
        <v>46</v>
      </c>
      <c r="B50" s="80">
        <v>391</v>
      </c>
      <c r="C50" s="77" t="s">
        <v>72</v>
      </c>
      <c r="D50" s="66" t="str">
        <f>VLOOKUP(B:B,[1]查询时间段分门店销售汇总!$B:$F,5,0)</f>
        <v>B1</v>
      </c>
      <c r="E50" s="80" t="s">
        <v>61</v>
      </c>
      <c r="F50" s="66">
        <f t="shared" si="9"/>
        <v>642</v>
      </c>
      <c r="G50" s="68">
        <v>722</v>
      </c>
      <c r="H50" s="68">
        <v>802</v>
      </c>
      <c r="I50" s="68">
        <v>1391.49</v>
      </c>
      <c r="J50" s="68">
        <v>234.8</v>
      </c>
      <c r="K50" s="68">
        <v>32</v>
      </c>
      <c r="L50" s="68"/>
      <c r="M50" s="68">
        <f t="shared" si="11"/>
        <v>1658.29</v>
      </c>
      <c r="N50" s="68">
        <f t="shared" si="12"/>
        <v>1016.29</v>
      </c>
      <c r="O50" s="68" t="s">
        <v>9</v>
      </c>
      <c r="P50" s="68">
        <f t="shared" si="17"/>
        <v>138.8941</v>
      </c>
      <c r="Q50" s="68"/>
      <c r="R50" s="66">
        <f t="shared" si="10"/>
        <v>1359</v>
      </c>
      <c r="S50" s="68">
        <v>1529</v>
      </c>
      <c r="T50" s="94">
        <v>1699</v>
      </c>
      <c r="U50" s="32">
        <f>VLOOKUP(B:B,[2]Sheet1!$A$1:$B$65536,2,0)</f>
        <v>928.5</v>
      </c>
      <c r="V50" s="32">
        <f t="shared" si="13"/>
        <v>-430.5</v>
      </c>
      <c r="W50" s="32" t="s">
        <v>25</v>
      </c>
      <c r="X50" s="90">
        <f>U50*0.15</f>
        <v>139.275</v>
      </c>
      <c r="Y50" s="90">
        <f>V50*0.05</f>
        <v>-21.525</v>
      </c>
      <c r="Z50" s="32">
        <f t="shared" si="14"/>
        <v>278</v>
      </c>
      <c r="AA50" s="32">
        <f t="shared" si="15"/>
        <v>-22</v>
      </c>
    </row>
    <row r="51" spans="1:27">
      <c r="A51" s="80">
        <v>47</v>
      </c>
      <c r="B51" s="80">
        <v>517</v>
      </c>
      <c r="C51" s="77" t="s">
        <v>73</v>
      </c>
      <c r="D51" s="66" t="str">
        <f>VLOOKUP(B:B,[1]查询时间段分门店销售汇总!$B:$F,5,0)</f>
        <v>A1</v>
      </c>
      <c r="E51" s="80" t="s">
        <v>61</v>
      </c>
      <c r="F51" s="66">
        <f t="shared" si="9"/>
        <v>830</v>
      </c>
      <c r="G51" s="68">
        <v>933</v>
      </c>
      <c r="H51" s="68">
        <v>1037</v>
      </c>
      <c r="I51" s="68">
        <v>2792.7</v>
      </c>
      <c r="J51" s="68">
        <v>316.8</v>
      </c>
      <c r="K51" s="68">
        <v>271.5</v>
      </c>
      <c r="L51" s="68">
        <v>68</v>
      </c>
      <c r="M51" s="68">
        <f t="shared" si="11"/>
        <v>3449</v>
      </c>
      <c r="N51" s="68">
        <f t="shared" si="12"/>
        <v>2619</v>
      </c>
      <c r="O51" s="68" t="s">
        <v>9</v>
      </c>
      <c r="P51" s="68">
        <f t="shared" si="17"/>
        <v>286.193</v>
      </c>
      <c r="Q51" s="68"/>
      <c r="R51" s="66">
        <f t="shared" si="10"/>
        <v>2546</v>
      </c>
      <c r="S51" s="68">
        <v>2864</v>
      </c>
      <c r="T51" s="94">
        <v>3182</v>
      </c>
      <c r="U51" s="32">
        <f>VLOOKUP(B:B,[2]Sheet1!$A$1:$B$65536,2,0)</f>
        <v>1348.5</v>
      </c>
      <c r="V51" s="32">
        <f t="shared" si="13"/>
        <v>-1197.5</v>
      </c>
      <c r="W51" s="32" t="s">
        <v>25</v>
      </c>
      <c r="X51" s="90">
        <f>U51*0.15</f>
        <v>202.275</v>
      </c>
      <c r="Y51" s="90">
        <f>V51*0.05</f>
        <v>-59.875</v>
      </c>
      <c r="Z51" s="32">
        <f t="shared" si="14"/>
        <v>488</v>
      </c>
      <c r="AA51" s="32">
        <f t="shared" si="15"/>
        <v>-60</v>
      </c>
    </row>
    <row r="52" spans="1:27">
      <c r="A52" s="80">
        <v>48</v>
      </c>
      <c r="B52" s="80">
        <v>742</v>
      </c>
      <c r="C52" s="77" t="s">
        <v>74</v>
      </c>
      <c r="D52" s="66" t="str">
        <f>VLOOKUP(B:B,[1]查询时间段分门店销售汇总!$B:$F,5,0)</f>
        <v>A2</v>
      </c>
      <c r="E52" s="80" t="s">
        <v>61</v>
      </c>
      <c r="F52" s="66">
        <f t="shared" si="9"/>
        <v>702</v>
      </c>
      <c r="G52" s="68">
        <v>789</v>
      </c>
      <c r="H52" s="68">
        <v>877</v>
      </c>
      <c r="I52" s="68">
        <v>531.82</v>
      </c>
      <c r="J52" s="68">
        <v>315.2</v>
      </c>
      <c r="K52" s="68">
        <v>62</v>
      </c>
      <c r="L52" s="68"/>
      <c r="M52" s="68">
        <f t="shared" si="11"/>
        <v>909.02</v>
      </c>
      <c r="N52" s="68">
        <f t="shared" si="12"/>
        <v>207.02</v>
      </c>
      <c r="O52" s="68" t="s">
        <v>9</v>
      </c>
      <c r="P52" s="68">
        <f t="shared" si="17"/>
        <v>67.3438</v>
      </c>
      <c r="Q52" s="68"/>
      <c r="R52" s="66">
        <f t="shared" si="10"/>
        <v>2126</v>
      </c>
      <c r="S52" s="68">
        <v>2391</v>
      </c>
      <c r="T52" s="94">
        <v>2657</v>
      </c>
      <c r="U52" s="32">
        <f>VLOOKUP(B:B,[2]Sheet1!$A$1:$B$65536,2,0)</f>
        <v>812</v>
      </c>
      <c r="V52" s="32">
        <f t="shared" si="13"/>
        <v>-1314</v>
      </c>
      <c r="W52" s="32" t="s">
        <v>25</v>
      </c>
      <c r="X52" s="90">
        <f>U52*0.15</f>
        <v>121.8</v>
      </c>
      <c r="Y52" s="90">
        <f>V52*0.05</f>
        <v>-65.7</v>
      </c>
      <c r="Z52" s="32">
        <f t="shared" si="14"/>
        <v>189</v>
      </c>
      <c r="AA52" s="32">
        <f t="shared" si="15"/>
        <v>-66</v>
      </c>
    </row>
    <row r="53" spans="1:27">
      <c r="A53" s="80">
        <v>49</v>
      </c>
      <c r="B53" s="80">
        <v>744</v>
      </c>
      <c r="C53" s="77" t="s">
        <v>75</v>
      </c>
      <c r="D53" s="66" t="str">
        <f>VLOOKUP(B:B,[1]查询时间段分门店销售汇总!$B:$F,5,0)</f>
        <v>A2</v>
      </c>
      <c r="E53" s="80" t="s">
        <v>61</v>
      </c>
      <c r="F53" s="66">
        <f t="shared" si="9"/>
        <v>539</v>
      </c>
      <c r="G53" s="68">
        <v>607</v>
      </c>
      <c r="H53" s="68">
        <v>674</v>
      </c>
      <c r="I53" s="68">
        <v>497.07</v>
      </c>
      <c r="J53" s="68">
        <v>117</v>
      </c>
      <c r="K53" s="68"/>
      <c r="L53" s="68"/>
      <c r="M53" s="68">
        <f t="shared" si="11"/>
        <v>614.07</v>
      </c>
      <c r="N53" s="68">
        <f t="shared" si="12"/>
        <v>75.0699999999999</v>
      </c>
      <c r="O53" s="68" t="s">
        <v>8</v>
      </c>
      <c r="P53" s="68">
        <f>I53*0.07+J53*0.04+K53*0.05+L53*0.03</f>
        <v>39.4749</v>
      </c>
      <c r="Q53" s="68"/>
      <c r="R53" s="66">
        <f t="shared" si="10"/>
        <v>1594</v>
      </c>
      <c r="S53" s="68">
        <v>1794</v>
      </c>
      <c r="T53" s="94">
        <v>1993</v>
      </c>
      <c r="U53" s="32">
        <f>VLOOKUP(B:B,[2]Sheet1!$A$1:$B$65536,2,0)</f>
        <v>168</v>
      </c>
      <c r="V53" s="32">
        <f t="shared" si="13"/>
        <v>-1426</v>
      </c>
      <c r="W53" s="32" t="s">
        <v>25</v>
      </c>
      <c r="X53" s="90">
        <f>U53*0.15</f>
        <v>25.2</v>
      </c>
      <c r="Y53" s="90">
        <f>V53*0.05</f>
        <v>-71.3</v>
      </c>
      <c r="Z53" s="32">
        <f t="shared" si="14"/>
        <v>65</v>
      </c>
      <c r="AA53" s="32">
        <f t="shared" si="15"/>
        <v>-71</v>
      </c>
    </row>
    <row r="54" spans="1:27">
      <c r="A54" s="80">
        <v>50</v>
      </c>
      <c r="B54" s="80">
        <v>102479</v>
      </c>
      <c r="C54" s="77" t="s">
        <v>76</v>
      </c>
      <c r="D54" s="66" t="str">
        <f>VLOOKUP(B:B,[1]查询时间段分门店销售汇总!$B:$F,5,0)</f>
        <v>B2</v>
      </c>
      <c r="E54" s="80" t="s">
        <v>61</v>
      </c>
      <c r="F54" s="66">
        <f t="shared" si="9"/>
        <v>680</v>
      </c>
      <c r="G54" s="68">
        <v>765</v>
      </c>
      <c r="H54" s="68">
        <v>850</v>
      </c>
      <c r="I54" s="68">
        <v>1162.1</v>
      </c>
      <c r="J54" s="68">
        <v>150.15</v>
      </c>
      <c r="K54" s="68"/>
      <c r="L54" s="68"/>
      <c r="M54" s="68">
        <f t="shared" si="11"/>
        <v>1312.25</v>
      </c>
      <c r="N54" s="68">
        <f t="shared" si="12"/>
        <v>632.25</v>
      </c>
      <c r="O54" s="68" t="s">
        <v>9</v>
      </c>
      <c r="P54" s="68">
        <f>I54*0.09+J54*0.05+K54*0.06+L54*0.04</f>
        <v>112.0965</v>
      </c>
      <c r="Q54" s="68"/>
      <c r="R54" s="66">
        <f t="shared" si="10"/>
        <v>169</v>
      </c>
      <c r="S54" s="68">
        <v>190</v>
      </c>
      <c r="T54" s="95">
        <v>211</v>
      </c>
      <c r="U54" s="32">
        <f>VLOOKUP(B:B,[2]Sheet1!$A$1:$B$65536,2,0)</f>
        <v>288.75</v>
      </c>
      <c r="V54" s="32">
        <f t="shared" si="13"/>
        <v>119.75</v>
      </c>
      <c r="W54" s="32" t="s">
        <v>9</v>
      </c>
      <c r="X54" s="90">
        <f>U54*0.25</f>
        <v>72.1875</v>
      </c>
      <c r="Y54" s="90"/>
      <c r="Z54" s="32">
        <f t="shared" si="14"/>
        <v>184</v>
      </c>
      <c r="AA54" s="32">
        <f t="shared" si="15"/>
        <v>0</v>
      </c>
    </row>
    <row r="55" spans="1:27">
      <c r="A55" s="80">
        <v>51</v>
      </c>
      <c r="B55" s="80">
        <v>102478</v>
      </c>
      <c r="C55" s="77" t="s">
        <v>77</v>
      </c>
      <c r="D55" s="66" t="str">
        <f>VLOOKUP(B:B,[1]查询时间段分门店销售汇总!$B:$F,5,0)</f>
        <v>C1</v>
      </c>
      <c r="E55" s="80" t="s">
        <v>61</v>
      </c>
      <c r="F55" s="66">
        <f t="shared" si="9"/>
        <v>169</v>
      </c>
      <c r="G55" s="68">
        <v>190</v>
      </c>
      <c r="H55" s="68">
        <v>211</v>
      </c>
      <c r="I55" s="68">
        <v>478.35</v>
      </c>
      <c r="J55" s="68"/>
      <c r="K55" s="68">
        <v>32</v>
      </c>
      <c r="L55" s="68"/>
      <c r="M55" s="68">
        <f t="shared" si="11"/>
        <v>510.35</v>
      </c>
      <c r="N55" s="68">
        <f t="shared" si="12"/>
        <v>341.35</v>
      </c>
      <c r="O55" s="68" t="s">
        <v>9</v>
      </c>
      <c r="P55" s="68">
        <f>I55*0.09+J55*0.05+K55*0.06+L55*0.04</f>
        <v>44.9715</v>
      </c>
      <c r="Q55" s="68"/>
      <c r="R55" s="66">
        <f t="shared" si="10"/>
        <v>149</v>
      </c>
      <c r="S55" s="68">
        <v>167</v>
      </c>
      <c r="T55" s="95">
        <v>186</v>
      </c>
      <c r="U55" s="32">
        <f>VLOOKUP(B:B,[2]Sheet1!$A$1:$B$65536,2,0)</f>
        <v>65.5</v>
      </c>
      <c r="V55" s="32">
        <f t="shared" si="13"/>
        <v>-83.5</v>
      </c>
      <c r="W55" s="32" t="s">
        <v>25</v>
      </c>
      <c r="X55" s="90">
        <f>U55*0.15</f>
        <v>9.825</v>
      </c>
      <c r="Y55" s="90">
        <f>V55*0.05</f>
        <v>-4.175</v>
      </c>
      <c r="Z55" s="32">
        <f t="shared" si="14"/>
        <v>55</v>
      </c>
      <c r="AA55" s="32">
        <f t="shared" si="15"/>
        <v>-4</v>
      </c>
    </row>
    <row r="56" spans="1:27">
      <c r="A56" s="80">
        <v>52</v>
      </c>
      <c r="B56" s="80">
        <v>102935</v>
      </c>
      <c r="C56" s="77" t="s">
        <v>78</v>
      </c>
      <c r="D56" s="66" t="str">
        <f>VLOOKUP(B:B,[1]查询时间段分门店销售汇总!$B:$F,5,0)</f>
        <v>B2</v>
      </c>
      <c r="E56" s="80" t="s">
        <v>61</v>
      </c>
      <c r="F56" s="66">
        <f t="shared" si="9"/>
        <v>535</v>
      </c>
      <c r="G56" s="68">
        <v>602</v>
      </c>
      <c r="H56" s="68">
        <v>669</v>
      </c>
      <c r="I56" s="68">
        <v>2334.29</v>
      </c>
      <c r="J56" s="68">
        <v>39.8</v>
      </c>
      <c r="K56" s="68"/>
      <c r="L56" s="68"/>
      <c r="M56" s="68">
        <f t="shared" si="11"/>
        <v>2374.09</v>
      </c>
      <c r="N56" s="68">
        <f t="shared" si="12"/>
        <v>1839.09</v>
      </c>
      <c r="O56" s="68" t="s">
        <v>9</v>
      </c>
      <c r="P56" s="68">
        <f>I56*0.09+J56*0.05+K56*0.06+L56*0.04</f>
        <v>212.0761</v>
      </c>
      <c r="Q56" s="68"/>
      <c r="R56" s="66">
        <f t="shared" si="10"/>
        <v>880</v>
      </c>
      <c r="S56" s="68">
        <v>990</v>
      </c>
      <c r="T56" s="95">
        <v>1100</v>
      </c>
      <c r="U56" s="32">
        <f>VLOOKUP(B:B,[2]Sheet1!$A$1:$B$65536,2,0)</f>
        <v>1037.7</v>
      </c>
      <c r="V56" s="32">
        <f t="shared" si="13"/>
        <v>157.7</v>
      </c>
      <c r="W56" s="32" t="s">
        <v>8</v>
      </c>
      <c r="X56" s="90">
        <f>U56*0.2</f>
        <v>207.54</v>
      </c>
      <c r="Y56" s="90"/>
      <c r="Z56" s="32">
        <f t="shared" si="14"/>
        <v>420</v>
      </c>
      <c r="AA56" s="32">
        <f t="shared" si="15"/>
        <v>0</v>
      </c>
    </row>
    <row r="57" spans="1:27">
      <c r="A57" s="80">
        <v>53</v>
      </c>
      <c r="B57" s="80">
        <v>337</v>
      </c>
      <c r="C57" s="77" t="s">
        <v>79</v>
      </c>
      <c r="D57" s="80"/>
      <c r="E57" s="80" t="s">
        <v>61</v>
      </c>
      <c r="F57" s="66">
        <f t="shared" si="9"/>
        <v>1742</v>
      </c>
      <c r="G57" s="68">
        <v>1960</v>
      </c>
      <c r="H57" s="68">
        <v>2178</v>
      </c>
      <c r="I57" s="68">
        <v>830.5</v>
      </c>
      <c r="J57" s="68">
        <v>416.25</v>
      </c>
      <c r="K57" s="68">
        <v>32</v>
      </c>
      <c r="L57" s="68"/>
      <c r="M57" s="68">
        <f t="shared" si="11"/>
        <v>1278.75</v>
      </c>
      <c r="N57" s="68">
        <f t="shared" si="12"/>
        <v>-463.25</v>
      </c>
      <c r="O57" s="68" t="s">
        <v>25</v>
      </c>
      <c r="P57" s="68">
        <f>I57*0.05+J57*0.03+K57*0.04+L57*0.02</f>
        <v>55.2925</v>
      </c>
      <c r="Q57" s="68">
        <f>N57*0.03</f>
        <v>-13.8975</v>
      </c>
      <c r="R57" s="66">
        <f t="shared" si="10"/>
        <v>5034</v>
      </c>
      <c r="S57" s="68">
        <v>5663</v>
      </c>
      <c r="T57" s="94">
        <v>6292</v>
      </c>
      <c r="U57" s="32">
        <f>VLOOKUP(B:B,[2]Sheet1!$A$1:$B$65536,2,0)</f>
        <v>13751.31</v>
      </c>
      <c r="V57" s="32">
        <f t="shared" si="13"/>
        <v>8717.31</v>
      </c>
      <c r="W57" s="32" t="s">
        <v>9</v>
      </c>
      <c r="X57" s="90">
        <f>U57*0.25</f>
        <v>3437.8275</v>
      </c>
      <c r="Y57" s="90"/>
      <c r="Z57" s="32">
        <f t="shared" si="14"/>
        <v>3493</v>
      </c>
      <c r="AA57" s="32">
        <f t="shared" si="15"/>
        <v>-14</v>
      </c>
    </row>
    <row r="58" s="56" customFormat="1" spans="1:27">
      <c r="A58" s="78"/>
      <c r="B58" s="78"/>
      <c r="C58" s="60"/>
      <c r="D58" s="79"/>
      <c r="E58" s="78" t="s">
        <v>61</v>
      </c>
      <c r="F58" s="79">
        <f>SUM(F39:F57)</f>
        <v>11508</v>
      </c>
      <c r="G58" s="79">
        <f t="shared" ref="G58:AA58" si="18">SUM(G39:G57)</f>
        <v>12946</v>
      </c>
      <c r="H58" s="79">
        <f t="shared" si="18"/>
        <v>14384</v>
      </c>
      <c r="I58" s="79">
        <f t="shared" si="18"/>
        <v>17747.99</v>
      </c>
      <c r="J58" s="79">
        <f t="shared" si="18"/>
        <v>3379.44</v>
      </c>
      <c r="K58" s="79">
        <f t="shared" si="18"/>
        <v>1457.51</v>
      </c>
      <c r="L58" s="79">
        <f t="shared" si="18"/>
        <v>961.4</v>
      </c>
      <c r="M58" s="79">
        <f t="shared" si="18"/>
        <v>23546.34</v>
      </c>
      <c r="N58" s="79">
        <f t="shared" si="18"/>
        <v>12038.34</v>
      </c>
      <c r="O58" s="79">
        <f t="shared" si="18"/>
        <v>0</v>
      </c>
      <c r="P58" s="79">
        <f t="shared" si="18"/>
        <v>1814.4163</v>
      </c>
      <c r="Q58" s="79">
        <f t="shared" si="18"/>
        <v>-19.6398</v>
      </c>
      <c r="R58" s="79">
        <f t="shared" si="18"/>
        <v>27291</v>
      </c>
      <c r="S58" s="79">
        <f t="shared" si="18"/>
        <v>30703</v>
      </c>
      <c r="T58" s="79">
        <f t="shared" si="18"/>
        <v>34113</v>
      </c>
      <c r="U58" s="79">
        <f t="shared" si="18"/>
        <v>33667.98</v>
      </c>
      <c r="V58" s="79">
        <f t="shared" si="18"/>
        <v>6376.98</v>
      </c>
      <c r="W58" s="79">
        <f t="shared" si="18"/>
        <v>0</v>
      </c>
      <c r="X58" s="79">
        <f t="shared" si="18"/>
        <v>7685.835</v>
      </c>
      <c r="Y58" s="79">
        <f t="shared" si="18"/>
        <v>-439.6125</v>
      </c>
      <c r="Z58" s="79">
        <f t="shared" si="18"/>
        <v>9498</v>
      </c>
      <c r="AA58" s="79">
        <f t="shared" si="18"/>
        <v>-459</v>
      </c>
    </row>
    <row r="59" spans="1:27">
      <c r="A59" s="80">
        <v>54</v>
      </c>
      <c r="B59" s="80">
        <v>545</v>
      </c>
      <c r="C59" s="77" t="s">
        <v>80</v>
      </c>
      <c r="D59" s="66" t="str">
        <f>VLOOKUP(B:B,[1]查询时间段分门店销售汇总!$B:$F,5,0)</f>
        <v>C2</v>
      </c>
      <c r="E59" s="80" t="s">
        <v>81</v>
      </c>
      <c r="F59" s="66">
        <f t="shared" si="9"/>
        <v>284</v>
      </c>
      <c r="G59" s="68">
        <v>320</v>
      </c>
      <c r="H59" s="68">
        <v>355</v>
      </c>
      <c r="I59" s="68">
        <v>730.8</v>
      </c>
      <c r="J59" s="68">
        <v>79.61</v>
      </c>
      <c r="K59" s="68"/>
      <c r="L59" s="68">
        <v>66</v>
      </c>
      <c r="M59" s="68">
        <f t="shared" si="11"/>
        <v>876.41</v>
      </c>
      <c r="N59" s="68">
        <f t="shared" si="12"/>
        <v>592.41</v>
      </c>
      <c r="O59" s="68" t="s">
        <v>9</v>
      </c>
      <c r="P59" s="68">
        <f t="shared" ref="P59:P66" si="19">I59*0.09+J59*0.05+K59*0.06+L59*0.04</f>
        <v>72.3925</v>
      </c>
      <c r="Q59" s="68"/>
      <c r="R59" s="66">
        <f t="shared" si="10"/>
        <v>616</v>
      </c>
      <c r="S59" s="68">
        <v>693</v>
      </c>
      <c r="T59" s="94">
        <v>770</v>
      </c>
      <c r="U59" s="32">
        <f>VLOOKUP(B:B,[2]Sheet1!$A$1:$B$65536,2,0)</f>
        <v>2763.66</v>
      </c>
      <c r="V59" s="32">
        <f t="shared" si="13"/>
        <v>2147.66</v>
      </c>
      <c r="W59" s="32" t="s">
        <v>9</v>
      </c>
      <c r="X59" s="90">
        <f>U59*0.25</f>
        <v>690.915</v>
      </c>
      <c r="Y59" s="90"/>
      <c r="Z59" s="32">
        <f t="shared" si="14"/>
        <v>763</v>
      </c>
      <c r="AA59" s="32">
        <f t="shared" si="15"/>
        <v>0</v>
      </c>
    </row>
    <row r="60" spans="1:27">
      <c r="A60" s="80">
        <v>55</v>
      </c>
      <c r="B60" s="80">
        <v>598</v>
      </c>
      <c r="C60" s="77" t="s">
        <v>82</v>
      </c>
      <c r="D60" s="66" t="str">
        <f>VLOOKUP(B:B,[1]查询时间段分门店销售汇总!$B:$F,5,0)</f>
        <v>B1</v>
      </c>
      <c r="E60" s="80" t="s">
        <v>81</v>
      </c>
      <c r="F60" s="66">
        <f t="shared" si="9"/>
        <v>589</v>
      </c>
      <c r="G60" s="68">
        <v>662</v>
      </c>
      <c r="H60" s="68">
        <v>736</v>
      </c>
      <c r="I60" s="68">
        <v>1278.2</v>
      </c>
      <c r="J60" s="68">
        <v>106.1</v>
      </c>
      <c r="K60" s="68">
        <v>32</v>
      </c>
      <c r="L60" s="68">
        <v>68</v>
      </c>
      <c r="M60" s="68">
        <f t="shared" si="11"/>
        <v>1484.3</v>
      </c>
      <c r="N60" s="68">
        <f t="shared" si="12"/>
        <v>895.3</v>
      </c>
      <c r="O60" s="68" t="s">
        <v>9</v>
      </c>
      <c r="P60" s="68">
        <f t="shared" si="19"/>
        <v>124.983</v>
      </c>
      <c r="Q60" s="68"/>
      <c r="R60" s="66">
        <f t="shared" si="10"/>
        <v>1194</v>
      </c>
      <c r="S60" s="68">
        <v>1343</v>
      </c>
      <c r="T60" s="94">
        <v>1492</v>
      </c>
      <c r="U60" s="32">
        <f>VLOOKUP(B:B,[2]Sheet1!$A$1:$B$65536,2,0)</f>
        <v>2082.5</v>
      </c>
      <c r="V60" s="32">
        <f t="shared" si="13"/>
        <v>888.5</v>
      </c>
      <c r="W60" s="32" t="s">
        <v>9</v>
      </c>
      <c r="X60" s="90">
        <f>U60*0.25</f>
        <v>520.625</v>
      </c>
      <c r="Y60" s="90"/>
      <c r="Z60" s="32">
        <f t="shared" si="14"/>
        <v>646</v>
      </c>
      <c r="AA60" s="32">
        <f t="shared" si="15"/>
        <v>0</v>
      </c>
    </row>
    <row r="61" spans="1:27">
      <c r="A61" s="80">
        <v>56</v>
      </c>
      <c r="B61" s="80">
        <v>707</v>
      </c>
      <c r="C61" s="77" t="s">
        <v>83</v>
      </c>
      <c r="D61" s="66" t="str">
        <f>VLOOKUP(B:B,[1]查询时间段分门店销售汇总!$B:$F,5,0)</f>
        <v>A2</v>
      </c>
      <c r="E61" s="80" t="s">
        <v>81</v>
      </c>
      <c r="F61" s="66">
        <f t="shared" si="9"/>
        <v>887</v>
      </c>
      <c r="G61" s="68">
        <v>998</v>
      </c>
      <c r="H61" s="68">
        <v>1109</v>
      </c>
      <c r="I61" s="68">
        <v>1167.49</v>
      </c>
      <c r="J61" s="68">
        <v>353.4</v>
      </c>
      <c r="K61" s="68">
        <v>124</v>
      </c>
      <c r="L61" s="68"/>
      <c r="M61" s="68">
        <f t="shared" si="11"/>
        <v>1644.89</v>
      </c>
      <c r="N61" s="68">
        <f t="shared" si="12"/>
        <v>757.89</v>
      </c>
      <c r="O61" s="68" t="s">
        <v>9</v>
      </c>
      <c r="P61" s="68">
        <f t="shared" si="19"/>
        <v>130.1841</v>
      </c>
      <c r="Q61" s="68"/>
      <c r="R61" s="66">
        <f t="shared" si="10"/>
        <v>2053</v>
      </c>
      <c r="S61" s="68">
        <v>2309</v>
      </c>
      <c r="T61" s="94">
        <v>2566</v>
      </c>
      <c r="U61" s="32">
        <f>VLOOKUP(B:B,[2]Sheet1!$A$1:$B$65536,2,0)</f>
        <v>733.5</v>
      </c>
      <c r="V61" s="32">
        <f t="shared" si="13"/>
        <v>-1319.5</v>
      </c>
      <c r="W61" s="32" t="s">
        <v>25</v>
      </c>
      <c r="X61" s="90">
        <f>U61*0.15</f>
        <v>110.025</v>
      </c>
      <c r="Y61" s="90">
        <f>V61*0.05</f>
        <v>-65.975</v>
      </c>
      <c r="Z61" s="32">
        <f t="shared" si="14"/>
        <v>240</v>
      </c>
      <c r="AA61" s="32">
        <f t="shared" si="15"/>
        <v>-66</v>
      </c>
    </row>
    <row r="62" spans="1:27">
      <c r="A62" s="80">
        <v>57</v>
      </c>
      <c r="B62" s="80">
        <v>712</v>
      </c>
      <c r="C62" s="77" t="s">
        <v>84</v>
      </c>
      <c r="D62" s="66" t="str">
        <f>VLOOKUP(B:B,[1]查询时间段分门店销售汇总!$B:$F,5,0)</f>
        <v>A1</v>
      </c>
      <c r="E62" s="80" t="s">
        <v>81</v>
      </c>
      <c r="F62" s="66">
        <f t="shared" si="9"/>
        <v>978</v>
      </c>
      <c r="G62" s="68">
        <v>1101</v>
      </c>
      <c r="H62" s="68">
        <v>1223</v>
      </c>
      <c r="I62" s="68">
        <v>1670.32</v>
      </c>
      <c r="J62" s="68">
        <v>394</v>
      </c>
      <c r="K62" s="68">
        <v>64</v>
      </c>
      <c r="L62" s="68">
        <v>66</v>
      </c>
      <c r="M62" s="68">
        <f t="shared" si="11"/>
        <v>2194.32</v>
      </c>
      <c r="N62" s="68">
        <f t="shared" si="12"/>
        <v>1216.32</v>
      </c>
      <c r="O62" s="68" t="s">
        <v>9</v>
      </c>
      <c r="P62" s="68">
        <f t="shared" si="19"/>
        <v>176.5088</v>
      </c>
      <c r="Q62" s="68"/>
      <c r="R62" s="66">
        <f t="shared" si="10"/>
        <v>2406</v>
      </c>
      <c r="S62" s="68">
        <v>2707</v>
      </c>
      <c r="T62" s="94">
        <v>3008</v>
      </c>
      <c r="U62" s="32">
        <f>VLOOKUP(B:B,[2]Sheet1!$A$1:$B$65536,2,0)</f>
        <v>8810.89</v>
      </c>
      <c r="V62" s="32">
        <f t="shared" si="13"/>
        <v>6404.89</v>
      </c>
      <c r="W62" s="32" t="s">
        <v>9</v>
      </c>
      <c r="X62" s="90">
        <f>U62*0.25</f>
        <v>2202.7225</v>
      </c>
      <c r="Y62" s="90"/>
      <c r="Z62" s="32">
        <f t="shared" si="14"/>
        <v>2379</v>
      </c>
      <c r="AA62" s="32">
        <f t="shared" si="15"/>
        <v>0</v>
      </c>
    </row>
    <row r="63" spans="1:27">
      <c r="A63" s="80">
        <v>58</v>
      </c>
      <c r="B63" s="80">
        <v>724</v>
      </c>
      <c r="C63" s="77" t="s">
        <v>85</v>
      </c>
      <c r="D63" s="66" t="str">
        <f>VLOOKUP(B:B,[1]查询时间段分门店销售汇总!$B:$F,5,0)</f>
        <v>A2</v>
      </c>
      <c r="E63" s="80" t="s">
        <v>81</v>
      </c>
      <c r="F63" s="66">
        <f t="shared" si="9"/>
        <v>825</v>
      </c>
      <c r="G63" s="68">
        <v>928</v>
      </c>
      <c r="H63" s="68">
        <v>1031</v>
      </c>
      <c r="I63" s="68">
        <v>931.7</v>
      </c>
      <c r="J63" s="68">
        <v>195</v>
      </c>
      <c r="K63" s="68"/>
      <c r="L63" s="68"/>
      <c r="M63" s="68">
        <f t="shared" si="11"/>
        <v>1126.7</v>
      </c>
      <c r="N63" s="68">
        <f t="shared" si="12"/>
        <v>301.7</v>
      </c>
      <c r="O63" s="68" t="s">
        <v>9</v>
      </c>
      <c r="P63" s="68">
        <f t="shared" si="19"/>
        <v>93.603</v>
      </c>
      <c r="Q63" s="68"/>
      <c r="R63" s="66">
        <f t="shared" si="10"/>
        <v>1845</v>
      </c>
      <c r="S63" s="68">
        <v>2075</v>
      </c>
      <c r="T63" s="94">
        <v>2306</v>
      </c>
      <c r="U63" s="32">
        <f>VLOOKUP(B:B,[2]Sheet1!$A$1:$B$65536,2,0)</f>
        <v>567</v>
      </c>
      <c r="V63" s="32">
        <f t="shared" si="13"/>
        <v>-1278</v>
      </c>
      <c r="W63" s="32" t="s">
        <v>25</v>
      </c>
      <c r="X63" s="90">
        <f>U63*0.15</f>
        <v>85.05</v>
      </c>
      <c r="Y63" s="90">
        <f>V63*0.05</f>
        <v>-63.9</v>
      </c>
      <c r="Z63" s="32">
        <f t="shared" si="14"/>
        <v>179</v>
      </c>
      <c r="AA63" s="32">
        <f t="shared" si="15"/>
        <v>-64</v>
      </c>
    </row>
    <row r="64" spans="1:27">
      <c r="A64" s="80">
        <v>59</v>
      </c>
      <c r="B64" s="82">
        <v>740</v>
      </c>
      <c r="C64" s="83" t="s">
        <v>86</v>
      </c>
      <c r="D64" s="66" t="str">
        <f>VLOOKUP(B:B,[1]查询时间段分门店销售汇总!$B:$F,5,0)</f>
        <v>C2</v>
      </c>
      <c r="E64" s="82" t="s">
        <v>81</v>
      </c>
      <c r="F64" s="66">
        <f t="shared" si="9"/>
        <v>324</v>
      </c>
      <c r="G64" s="68">
        <v>365</v>
      </c>
      <c r="H64" s="68">
        <v>405</v>
      </c>
      <c r="I64" s="68">
        <v>498.55</v>
      </c>
      <c r="J64" s="68">
        <v>36</v>
      </c>
      <c r="K64" s="68"/>
      <c r="L64" s="68"/>
      <c r="M64" s="68">
        <f t="shared" si="11"/>
        <v>534.55</v>
      </c>
      <c r="N64" s="68">
        <f t="shared" si="12"/>
        <v>210.55</v>
      </c>
      <c r="O64" s="68" t="s">
        <v>9</v>
      </c>
      <c r="P64" s="68">
        <f t="shared" si="19"/>
        <v>46.6695</v>
      </c>
      <c r="Q64" s="68"/>
      <c r="R64" s="66">
        <f t="shared" si="10"/>
        <v>765</v>
      </c>
      <c r="S64" s="68">
        <v>860</v>
      </c>
      <c r="T64" s="96">
        <v>956</v>
      </c>
      <c r="U64" s="32">
        <f>VLOOKUP(B:B,[2]Sheet1!$A$1:$B$65536,2,0)</f>
        <v>1422.37</v>
      </c>
      <c r="V64" s="32">
        <f t="shared" si="13"/>
        <v>657.37</v>
      </c>
      <c r="W64" s="32" t="s">
        <v>9</v>
      </c>
      <c r="X64" s="90">
        <f>U64*0.25</f>
        <v>355.5925</v>
      </c>
      <c r="Y64" s="90"/>
      <c r="Z64" s="32">
        <f t="shared" si="14"/>
        <v>402</v>
      </c>
      <c r="AA64" s="32">
        <f t="shared" si="15"/>
        <v>0</v>
      </c>
    </row>
    <row r="65" spans="1:27">
      <c r="A65" s="80">
        <v>60</v>
      </c>
      <c r="B65" s="80">
        <v>743</v>
      </c>
      <c r="C65" s="77" t="s">
        <v>87</v>
      </c>
      <c r="D65" s="66" t="str">
        <f>VLOOKUP(B:B,[1]查询时间段分门店销售汇总!$B:$F,5,0)</f>
        <v>C1</v>
      </c>
      <c r="E65" s="80" t="s">
        <v>81</v>
      </c>
      <c r="F65" s="66">
        <f t="shared" si="9"/>
        <v>366</v>
      </c>
      <c r="G65" s="68">
        <v>412</v>
      </c>
      <c r="H65" s="68">
        <v>458</v>
      </c>
      <c r="I65" s="68">
        <v>846.35</v>
      </c>
      <c r="J65" s="68">
        <v>667.8</v>
      </c>
      <c r="K65" s="68"/>
      <c r="L65" s="68"/>
      <c r="M65" s="68">
        <f t="shared" si="11"/>
        <v>1514.15</v>
      </c>
      <c r="N65" s="68">
        <f t="shared" si="12"/>
        <v>1148.15</v>
      </c>
      <c r="O65" s="68" t="s">
        <v>9</v>
      </c>
      <c r="P65" s="68">
        <f t="shared" si="19"/>
        <v>109.5615</v>
      </c>
      <c r="Q65" s="68"/>
      <c r="R65" s="66">
        <f t="shared" si="10"/>
        <v>824</v>
      </c>
      <c r="S65" s="68">
        <v>927</v>
      </c>
      <c r="T65" s="94">
        <v>1030</v>
      </c>
      <c r="U65" s="32">
        <f>VLOOKUP(B:B,[2]Sheet1!$A$1:$B$65536,2,0)</f>
        <v>190</v>
      </c>
      <c r="V65" s="32">
        <f t="shared" si="13"/>
        <v>-634</v>
      </c>
      <c r="W65" s="32" t="s">
        <v>25</v>
      </c>
      <c r="X65" s="90">
        <f t="shared" ref="X65:X71" si="20">U65*0.15</f>
        <v>28.5</v>
      </c>
      <c r="Y65" s="90">
        <f t="shared" ref="Y65:Y71" si="21">V65*0.05</f>
        <v>-31.7</v>
      </c>
      <c r="Z65" s="32">
        <f t="shared" si="14"/>
        <v>138</v>
      </c>
      <c r="AA65" s="32">
        <f t="shared" si="15"/>
        <v>-32</v>
      </c>
    </row>
    <row r="66" spans="1:27">
      <c r="A66" s="80">
        <v>61</v>
      </c>
      <c r="B66" s="80">
        <v>377</v>
      </c>
      <c r="C66" s="77" t="s">
        <v>88</v>
      </c>
      <c r="D66" s="66" t="str">
        <f>VLOOKUP(B:B,[1]查询时间段分门店销售汇总!$B:$F,5,0)</f>
        <v>B1</v>
      </c>
      <c r="E66" s="80" t="s">
        <v>81</v>
      </c>
      <c r="F66" s="66">
        <f t="shared" si="9"/>
        <v>651</v>
      </c>
      <c r="G66" s="68">
        <v>733</v>
      </c>
      <c r="H66" s="68">
        <v>814</v>
      </c>
      <c r="I66" s="68">
        <v>1260.55</v>
      </c>
      <c r="J66" s="68">
        <v>78.8</v>
      </c>
      <c r="K66" s="68">
        <v>179.06</v>
      </c>
      <c r="L66" s="68">
        <v>66</v>
      </c>
      <c r="M66" s="68">
        <f t="shared" si="11"/>
        <v>1584.41</v>
      </c>
      <c r="N66" s="68">
        <f t="shared" si="12"/>
        <v>933.41</v>
      </c>
      <c r="O66" s="68" t="s">
        <v>9</v>
      </c>
      <c r="P66" s="68">
        <f t="shared" si="19"/>
        <v>130.7731</v>
      </c>
      <c r="Q66" s="68"/>
      <c r="R66" s="66">
        <f t="shared" si="10"/>
        <v>1517</v>
      </c>
      <c r="S66" s="68">
        <v>1706</v>
      </c>
      <c r="T66" s="94">
        <v>1896</v>
      </c>
      <c r="U66" s="32">
        <f>VLOOKUP(B:B,[2]Sheet1!$A$1:$B$65536,2,0)</f>
        <v>563.5</v>
      </c>
      <c r="V66" s="32">
        <f t="shared" si="13"/>
        <v>-953.5</v>
      </c>
      <c r="W66" s="32" t="s">
        <v>25</v>
      </c>
      <c r="X66" s="90">
        <f t="shared" si="20"/>
        <v>84.525</v>
      </c>
      <c r="Y66" s="90">
        <f t="shared" si="21"/>
        <v>-47.675</v>
      </c>
      <c r="Z66" s="32">
        <f t="shared" si="14"/>
        <v>215</v>
      </c>
      <c r="AA66" s="32">
        <f t="shared" si="15"/>
        <v>-48</v>
      </c>
    </row>
    <row r="67" spans="1:27">
      <c r="A67" s="80">
        <v>62</v>
      </c>
      <c r="B67" s="100">
        <v>387</v>
      </c>
      <c r="C67" s="101" t="s">
        <v>89</v>
      </c>
      <c r="D67" s="66" t="str">
        <f>VLOOKUP(B:B,[1]查询时间段分门店销售汇总!$B:$F,5,0)</f>
        <v>A1</v>
      </c>
      <c r="E67" s="100" t="s">
        <v>81</v>
      </c>
      <c r="F67" s="66">
        <f t="shared" si="9"/>
        <v>1026</v>
      </c>
      <c r="G67" s="68">
        <v>1155</v>
      </c>
      <c r="H67" s="68">
        <v>1283</v>
      </c>
      <c r="I67" s="68">
        <v>604.72</v>
      </c>
      <c r="J67" s="68">
        <v>302.85</v>
      </c>
      <c r="K67" s="68"/>
      <c r="L67" s="68"/>
      <c r="M67" s="68">
        <f t="shared" si="11"/>
        <v>907.57</v>
      </c>
      <c r="N67" s="68">
        <f t="shared" si="12"/>
        <v>-118.43</v>
      </c>
      <c r="O67" s="68" t="s">
        <v>25</v>
      </c>
      <c r="P67" s="68">
        <f>I67*0.05+J67*0.03+K67*0.04+L67*0.02</f>
        <v>39.3215</v>
      </c>
      <c r="Q67" s="68">
        <f>N67*0.03</f>
        <v>-3.5529</v>
      </c>
      <c r="R67" s="66">
        <f t="shared" si="10"/>
        <v>2390</v>
      </c>
      <c r="S67" s="68">
        <v>2689</v>
      </c>
      <c r="T67" s="103">
        <v>2988</v>
      </c>
      <c r="U67" s="32">
        <f>VLOOKUP(B:B,[2]Sheet1!$A$1:$B$65536,2,0)</f>
        <v>451.5</v>
      </c>
      <c r="V67" s="32">
        <f t="shared" si="13"/>
        <v>-1938.5</v>
      </c>
      <c r="W67" s="32" t="s">
        <v>25</v>
      </c>
      <c r="X67" s="90">
        <f t="shared" si="20"/>
        <v>67.725</v>
      </c>
      <c r="Y67" s="90">
        <f t="shared" si="21"/>
        <v>-96.925</v>
      </c>
      <c r="Z67" s="32">
        <f t="shared" si="14"/>
        <v>107</v>
      </c>
      <c r="AA67" s="32">
        <f t="shared" si="15"/>
        <v>-100</v>
      </c>
    </row>
    <row r="68" spans="1:27">
      <c r="A68" s="80">
        <v>63</v>
      </c>
      <c r="B68" s="80">
        <v>399</v>
      </c>
      <c r="C68" s="77" t="s">
        <v>90</v>
      </c>
      <c r="D68" s="66" t="str">
        <f>VLOOKUP(B:B,[1]查询时间段分门店销售汇总!$B:$F,5,0)</f>
        <v>B1</v>
      </c>
      <c r="E68" s="80" t="s">
        <v>81</v>
      </c>
      <c r="F68" s="66">
        <f t="shared" si="9"/>
        <v>563</v>
      </c>
      <c r="G68" s="68">
        <v>634</v>
      </c>
      <c r="H68" s="68">
        <v>704</v>
      </c>
      <c r="I68" s="68">
        <v>1051.58</v>
      </c>
      <c r="J68" s="68">
        <v>702</v>
      </c>
      <c r="K68" s="68">
        <v>65.36</v>
      </c>
      <c r="L68" s="68">
        <v>56.1</v>
      </c>
      <c r="M68" s="68">
        <f t="shared" ref="M68:M113" si="22">L68+K68+J68+I68</f>
        <v>1875.04</v>
      </c>
      <c r="N68" s="68">
        <f t="shared" ref="N68:N113" si="23">M68-F68</f>
        <v>1312.04</v>
      </c>
      <c r="O68" s="68" t="s">
        <v>9</v>
      </c>
      <c r="P68" s="68">
        <f>I68*0.09+J68*0.05+K68*0.06+L68*0.04</f>
        <v>135.9078</v>
      </c>
      <c r="Q68" s="68"/>
      <c r="R68" s="66">
        <f t="shared" si="10"/>
        <v>1501</v>
      </c>
      <c r="S68" s="68">
        <v>1688</v>
      </c>
      <c r="T68" s="94">
        <v>1876</v>
      </c>
      <c r="U68" s="32">
        <f>VLOOKUP(B:B,[2]Sheet1!$A$1:$B$65536,2,0)</f>
        <v>144</v>
      </c>
      <c r="V68" s="32">
        <f t="shared" ref="V68:V113" si="24">U68-R68</f>
        <v>-1357</v>
      </c>
      <c r="W68" s="32" t="s">
        <v>25</v>
      </c>
      <c r="X68" s="90">
        <f t="shared" si="20"/>
        <v>21.6</v>
      </c>
      <c r="Y68" s="90">
        <f t="shared" si="21"/>
        <v>-67.85</v>
      </c>
      <c r="Z68" s="32">
        <f t="shared" ref="Z68:Z113" si="25">ROUND(P68+X68,0)</f>
        <v>158</v>
      </c>
      <c r="AA68" s="32">
        <f t="shared" ref="AA68:AA113" si="26">ROUND(Q68+Y68,0)</f>
        <v>-68</v>
      </c>
    </row>
    <row r="69" spans="1:27">
      <c r="A69" s="80">
        <v>64</v>
      </c>
      <c r="B69" s="80">
        <v>571</v>
      </c>
      <c r="C69" s="77" t="s">
        <v>91</v>
      </c>
      <c r="D69" s="66" t="str">
        <f>VLOOKUP(B:B,[1]查询时间段分门店销售汇总!$B:$F,5,0)</f>
        <v>A1</v>
      </c>
      <c r="E69" s="80" t="s">
        <v>81</v>
      </c>
      <c r="F69" s="66">
        <f t="shared" si="9"/>
        <v>1525</v>
      </c>
      <c r="G69" s="68">
        <v>1715</v>
      </c>
      <c r="H69" s="68">
        <v>1906</v>
      </c>
      <c r="I69" s="68">
        <v>3282.75</v>
      </c>
      <c r="J69" s="68">
        <v>234</v>
      </c>
      <c r="K69" s="68">
        <v>32</v>
      </c>
      <c r="L69" s="68">
        <v>132</v>
      </c>
      <c r="M69" s="68">
        <f t="shared" si="22"/>
        <v>3680.75</v>
      </c>
      <c r="N69" s="68">
        <f t="shared" si="23"/>
        <v>2155.75</v>
      </c>
      <c r="O69" s="68" t="s">
        <v>9</v>
      </c>
      <c r="P69" s="68">
        <f>I69*0.09+J69*0.05+K69*0.06+L69*0.04</f>
        <v>314.3475</v>
      </c>
      <c r="Q69" s="68"/>
      <c r="R69" s="66">
        <f t="shared" si="10"/>
        <v>3198</v>
      </c>
      <c r="S69" s="68">
        <v>3597</v>
      </c>
      <c r="T69" s="94">
        <v>3997</v>
      </c>
      <c r="U69" s="32">
        <f>VLOOKUP(B:B,[2]Sheet1!$A$1:$B$65536,2,0)</f>
        <v>604.5</v>
      </c>
      <c r="V69" s="32">
        <f t="shared" si="24"/>
        <v>-2593.5</v>
      </c>
      <c r="W69" s="32" t="s">
        <v>25</v>
      </c>
      <c r="X69" s="90">
        <f t="shared" si="20"/>
        <v>90.675</v>
      </c>
      <c r="Y69" s="90">
        <f t="shared" si="21"/>
        <v>-129.675</v>
      </c>
      <c r="Z69" s="32">
        <f t="shared" si="25"/>
        <v>405</v>
      </c>
      <c r="AA69" s="32">
        <f t="shared" si="26"/>
        <v>-130</v>
      </c>
    </row>
    <row r="70" spans="1:27">
      <c r="A70" s="80">
        <v>65</v>
      </c>
      <c r="B70" s="80">
        <v>573</v>
      </c>
      <c r="C70" s="77" t="s">
        <v>92</v>
      </c>
      <c r="D70" s="66" t="str">
        <f>VLOOKUP(B:B,[1]查询时间段分门店销售汇总!$B:$F,5,0)</f>
        <v>B2 </v>
      </c>
      <c r="E70" s="80" t="s">
        <v>81</v>
      </c>
      <c r="F70" s="66">
        <f t="shared" si="9"/>
        <v>439</v>
      </c>
      <c r="G70" s="68">
        <v>494</v>
      </c>
      <c r="H70" s="68">
        <v>549</v>
      </c>
      <c r="I70" s="68">
        <v>663.6</v>
      </c>
      <c r="J70" s="68">
        <v>72.15</v>
      </c>
      <c r="K70" s="68">
        <v>30</v>
      </c>
      <c r="L70" s="68">
        <v>132</v>
      </c>
      <c r="M70" s="68">
        <f t="shared" si="22"/>
        <v>897.75</v>
      </c>
      <c r="N70" s="68">
        <f t="shared" si="23"/>
        <v>458.75</v>
      </c>
      <c r="O70" s="68" t="s">
        <v>9</v>
      </c>
      <c r="P70" s="68">
        <f>I70*0.09+J70*0.05+K70*0.06+L70*0.04</f>
        <v>70.4115</v>
      </c>
      <c r="Q70" s="68"/>
      <c r="R70" s="66">
        <f t="shared" si="10"/>
        <v>997</v>
      </c>
      <c r="S70" s="68">
        <v>1121</v>
      </c>
      <c r="T70" s="94">
        <v>1246</v>
      </c>
      <c r="U70" s="32">
        <f>VLOOKUP(B:B,[2]Sheet1!$A$1:$B$65536,2,0)</f>
        <v>252</v>
      </c>
      <c r="V70" s="32">
        <f t="shared" si="24"/>
        <v>-745</v>
      </c>
      <c r="W70" s="32" t="s">
        <v>25</v>
      </c>
      <c r="X70" s="90">
        <f t="shared" si="20"/>
        <v>37.8</v>
      </c>
      <c r="Y70" s="90">
        <f t="shared" si="21"/>
        <v>-37.25</v>
      </c>
      <c r="Z70" s="32">
        <f t="shared" si="25"/>
        <v>108</v>
      </c>
      <c r="AA70" s="32">
        <f t="shared" si="26"/>
        <v>-37</v>
      </c>
    </row>
    <row r="71" spans="1:27">
      <c r="A71" s="80">
        <v>66</v>
      </c>
      <c r="B71" s="80">
        <v>584</v>
      </c>
      <c r="C71" s="77" t="s">
        <v>93</v>
      </c>
      <c r="D71" s="66" t="str">
        <f>VLOOKUP(B:B,[1]查询时间段分门店销售汇总!$B:$F,5,0)</f>
        <v>C1</v>
      </c>
      <c r="E71" s="80" t="s">
        <v>81</v>
      </c>
      <c r="F71" s="66">
        <f t="shared" si="9"/>
        <v>312</v>
      </c>
      <c r="G71" s="68">
        <v>351</v>
      </c>
      <c r="H71" s="68">
        <v>390</v>
      </c>
      <c r="I71" s="68">
        <v>181.2</v>
      </c>
      <c r="J71" s="68">
        <v>39.8</v>
      </c>
      <c r="K71" s="68"/>
      <c r="L71" s="68"/>
      <c r="M71" s="68">
        <f t="shared" si="22"/>
        <v>221</v>
      </c>
      <c r="N71" s="68">
        <f t="shared" si="23"/>
        <v>-91</v>
      </c>
      <c r="O71" s="68" t="s">
        <v>25</v>
      </c>
      <c r="P71" s="68">
        <f>I71*0.05+J71*0.03+K71*0.04+L71*0.02</f>
        <v>10.254</v>
      </c>
      <c r="Q71" s="68">
        <f>N71*0.03</f>
        <v>-2.73</v>
      </c>
      <c r="R71" s="66">
        <f t="shared" si="10"/>
        <v>826</v>
      </c>
      <c r="S71" s="68">
        <v>929</v>
      </c>
      <c r="T71" s="94">
        <v>1032</v>
      </c>
      <c r="U71" s="32">
        <f>VLOOKUP(B:B,[2]Sheet1!$A$1:$B$65536,2,0)</f>
        <v>444</v>
      </c>
      <c r="V71" s="32">
        <f t="shared" si="24"/>
        <v>-382</v>
      </c>
      <c r="W71" s="32" t="s">
        <v>25</v>
      </c>
      <c r="X71" s="90">
        <f t="shared" si="20"/>
        <v>66.6</v>
      </c>
      <c r="Y71" s="90">
        <f t="shared" si="21"/>
        <v>-19.1</v>
      </c>
      <c r="Z71" s="32">
        <f t="shared" si="25"/>
        <v>77</v>
      </c>
      <c r="AA71" s="32">
        <f t="shared" si="26"/>
        <v>-22</v>
      </c>
    </row>
    <row r="72" spans="1:27">
      <c r="A72" s="80">
        <v>67</v>
      </c>
      <c r="B72" s="80">
        <v>737</v>
      </c>
      <c r="C72" s="77" t="s">
        <v>94</v>
      </c>
      <c r="D72" s="66" t="str">
        <f>VLOOKUP(B:B,[1]查询时间段分门店销售汇总!$B:$F,5,0)</f>
        <v>B2 </v>
      </c>
      <c r="E72" s="80" t="s">
        <v>81</v>
      </c>
      <c r="F72" s="66">
        <f t="shared" si="9"/>
        <v>514</v>
      </c>
      <c r="G72" s="68">
        <v>579</v>
      </c>
      <c r="H72" s="68">
        <v>643</v>
      </c>
      <c r="I72" s="68">
        <v>949.25</v>
      </c>
      <c r="J72" s="68">
        <v>39.8</v>
      </c>
      <c r="K72" s="68"/>
      <c r="L72" s="68"/>
      <c r="M72" s="68">
        <f t="shared" si="22"/>
        <v>989.05</v>
      </c>
      <c r="N72" s="68">
        <f t="shared" si="23"/>
        <v>475.05</v>
      </c>
      <c r="O72" s="68" t="s">
        <v>9</v>
      </c>
      <c r="P72" s="68">
        <f t="shared" ref="P72:P81" si="27">I72*0.09+J72*0.05+K72*0.06+L72*0.04</f>
        <v>87.4225</v>
      </c>
      <c r="Q72" s="68"/>
      <c r="R72" s="66">
        <f t="shared" si="10"/>
        <v>1142</v>
      </c>
      <c r="S72" s="68">
        <v>1285</v>
      </c>
      <c r="T72" s="94">
        <v>1428</v>
      </c>
      <c r="U72" s="32">
        <f>VLOOKUP(B:B,[2]Sheet1!$A$1:$B$65536,2,0)</f>
        <v>2276.37</v>
      </c>
      <c r="V72" s="32">
        <f t="shared" si="24"/>
        <v>1134.37</v>
      </c>
      <c r="W72" s="32" t="s">
        <v>9</v>
      </c>
      <c r="X72" s="90">
        <f>U72*0.25</f>
        <v>569.0925</v>
      </c>
      <c r="Y72" s="90"/>
      <c r="Z72" s="32">
        <f t="shared" si="25"/>
        <v>657</v>
      </c>
      <c r="AA72" s="32">
        <f t="shared" si="26"/>
        <v>0</v>
      </c>
    </row>
    <row r="73" spans="1:27">
      <c r="A73" s="80">
        <v>68</v>
      </c>
      <c r="B73" s="80">
        <v>546</v>
      </c>
      <c r="C73" s="77" t="s">
        <v>95</v>
      </c>
      <c r="D73" s="66" t="str">
        <f>VLOOKUP(B:B,[1]查询时间段分门店销售汇总!$B:$F,5,0)</f>
        <v>A2</v>
      </c>
      <c r="E73" s="80" t="s">
        <v>81</v>
      </c>
      <c r="F73" s="66">
        <f t="shared" si="9"/>
        <v>814</v>
      </c>
      <c r="G73" s="68">
        <v>916</v>
      </c>
      <c r="H73" s="68">
        <v>1018</v>
      </c>
      <c r="I73" s="68">
        <v>1267</v>
      </c>
      <c r="J73" s="68">
        <v>117</v>
      </c>
      <c r="K73" s="68"/>
      <c r="L73" s="68">
        <v>132</v>
      </c>
      <c r="M73" s="68">
        <f t="shared" si="22"/>
        <v>1516</v>
      </c>
      <c r="N73" s="68">
        <f t="shared" si="23"/>
        <v>702</v>
      </c>
      <c r="O73" s="68" t="s">
        <v>9</v>
      </c>
      <c r="P73" s="68">
        <f t="shared" si="27"/>
        <v>125.16</v>
      </c>
      <c r="Q73" s="68"/>
      <c r="R73" s="66">
        <f t="shared" si="10"/>
        <v>1682</v>
      </c>
      <c r="S73" s="68">
        <v>1892</v>
      </c>
      <c r="T73" s="94">
        <v>2102</v>
      </c>
      <c r="U73" s="32">
        <f>VLOOKUP(B:B,[2]Sheet1!$A$1:$B$65536,2,0)</f>
        <v>3471.93</v>
      </c>
      <c r="V73" s="32">
        <f t="shared" si="24"/>
        <v>1789.93</v>
      </c>
      <c r="W73" s="32" t="s">
        <v>9</v>
      </c>
      <c r="X73" s="90">
        <f>U73*0.25</f>
        <v>867.9825</v>
      </c>
      <c r="Y73" s="90"/>
      <c r="Z73" s="32">
        <f t="shared" si="25"/>
        <v>993</v>
      </c>
      <c r="AA73" s="32">
        <f t="shared" si="26"/>
        <v>0</v>
      </c>
    </row>
    <row r="74" spans="1:27">
      <c r="A74" s="80">
        <v>69</v>
      </c>
      <c r="B74" s="80">
        <v>733</v>
      </c>
      <c r="C74" s="77" t="s">
        <v>96</v>
      </c>
      <c r="D74" s="66" t="str">
        <f>VLOOKUP(B:B,[1]查询时间段分门店销售汇总!$B:$F,5,0)</f>
        <v>C1</v>
      </c>
      <c r="E74" s="80" t="s">
        <v>81</v>
      </c>
      <c r="F74" s="66">
        <f t="shared" si="9"/>
        <v>294</v>
      </c>
      <c r="G74" s="68">
        <v>331</v>
      </c>
      <c r="H74" s="68">
        <v>368</v>
      </c>
      <c r="I74" s="68">
        <v>434</v>
      </c>
      <c r="J74" s="68">
        <v>156</v>
      </c>
      <c r="K74" s="68">
        <v>62</v>
      </c>
      <c r="L74" s="68">
        <v>68</v>
      </c>
      <c r="M74" s="68">
        <f t="shared" si="22"/>
        <v>720</v>
      </c>
      <c r="N74" s="68">
        <f t="shared" si="23"/>
        <v>426</v>
      </c>
      <c r="O74" s="68" t="s">
        <v>9</v>
      </c>
      <c r="P74" s="68">
        <f t="shared" si="27"/>
        <v>53.3</v>
      </c>
      <c r="Q74" s="68"/>
      <c r="R74" s="66">
        <f t="shared" si="10"/>
        <v>791</v>
      </c>
      <c r="S74" s="68">
        <v>890</v>
      </c>
      <c r="T74" s="94">
        <v>989</v>
      </c>
      <c r="U74" s="32">
        <f>VLOOKUP(B:B,[2]Sheet1!$A$1:$B$65536,2,0)</f>
        <v>200</v>
      </c>
      <c r="V74" s="32">
        <f t="shared" si="24"/>
        <v>-591</v>
      </c>
      <c r="W74" s="32" t="s">
        <v>25</v>
      </c>
      <c r="X74" s="90">
        <f>U74*0.15</f>
        <v>30</v>
      </c>
      <c r="Y74" s="90">
        <f>V74*0.05</f>
        <v>-29.55</v>
      </c>
      <c r="Z74" s="32">
        <f t="shared" si="25"/>
        <v>83</v>
      </c>
      <c r="AA74" s="32">
        <f t="shared" si="26"/>
        <v>-30</v>
      </c>
    </row>
    <row r="75" spans="1:27">
      <c r="A75" s="80">
        <v>70</v>
      </c>
      <c r="B75" s="17">
        <v>750</v>
      </c>
      <c r="C75" s="77" t="s">
        <v>97</v>
      </c>
      <c r="D75" s="66" t="str">
        <f>VLOOKUP(B:B,[1]查询时间段分门店销售汇总!$B:$F,5,0)</f>
        <v>A1</v>
      </c>
      <c r="E75" s="17" t="s">
        <v>81</v>
      </c>
      <c r="F75" s="66">
        <v>1020</v>
      </c>
      <c r="G75" s="68">
        <f>F75*1.1</f>
        <v>1122</v>
      </c>
      <c r="H75" s="68">
        <f>F75*1.2</f>
        <v>1224</v>
      </c>
      <c r="I75" s="68">
        <v>8644.08</v>
      </c>
      <c r="J75" s="68">
        <v>427.94</v>
      </c>
      <c r="K75" s="68">
        <v>94</v>
      </c>
      <c r="L75" s="68">
        <v>204</v>
      </c>
      <c r="M75" s="68">
        <f t="shared" si="22"/>
        <v>9370.02</v>
      </c>
      <c r="N75" s="68">
        <f t="shared" si="23"/>
        <v>8350.02</v>
      </c>
      <c r="O75" s="68" t="s">
        <v>9</v>
      </c>
      <c r="P75" s="68">
        <f t="shared" si="27"/>
        <v>813.1642</v>
      </c>
      <c r="Q75" s="68"/>
      <c r="R75" s="66">
        <v>2922</v>
      </c>
      <c r="S75" s="68">
        <f>R75*1.1</f>
        <v>3214.2</v>
      </c>
      <c r="T75" s="94">
        <f>R75*1.2</f>
        <v>3506.4</v>
      </c>
      <c r="U75" s="32">
        <f>VLOOKUP(B:B,[2]Sheet1!$A$1:$B$65536,2,0)</f>
        <v>6584.74</v>
      </c>
      <c r="V75" s="32">
        <f t="shared" si="24"/>
        <v>3662.74</v>
      </c>
      <c r="W75" s="32" t="s">
        <v>9</v>
      </c>
      <c r="X75" s="90">
        <f>U75*0.25</f>
        <v>1646.185</v>
      </c>
      <c r="Y75" s="90"/>
      <c r="Z75" s="32">
        <f t="shared" si="25"/>
        <v>2459</v>
      </c>
      <c r="AA75" s="32">
        <f t="shared" si="26"/>
        <v>0</v>
      </c>
    </row>
    <row r="76" spans="1:27">
      <c r="A76" s="80">
        <v>71</v>
      </c>
      <c r="B76" s="80">
        <v>753</v>
      </c>
      <c r="C76" s="77" t="s">
        <v>98</v>
      </c>
      <c r="D76" s="66" t="str">
        <f>VLOOKUP(B:B,[1]查询时间段分门店销售汇总!$B:$F,5,0)</f>
        <v>C2</v>
      </c>
      <c r="E76" s="17" t="s">
        <v>81</v>
      </c>
      <c r="F76" s="66">
        <f>ROUND(H76*0.8,0)</f>
        <v>179</v>
      </c>
      <c r="G76" s="68">
        <v>202</v>
      </c>
      <c r="H76" s="68">
        <v>224</v>
      </c>
      <c r="I76" s="68">
        <v>208.9</v>
      </c>
      <c r="J76" s="68">
        <v>78.8</v>
      </c>
      <c r="K76" s="68"/>
      <c r="L76" s="68">
        <v>68</v>
      </c>
      <c r="M76" s="68">
        <f t="shared" si="22"/>
        <v>355.7</v>
      </c>
      <c r="N76" s="68">
        <f t="shared" si="23"/>
        <v>176.7</v>
      </c>
      <c r="O76" s="68" t="s">
        <v>9</v>
      </c>
      <c r="P76" s="68">
        <f t="shared" si="27"/>
        <v>25.461</v>
      </c>
      <c r="Q76" s="68"/>
      <c r="R76" s="66">
        <f>ROUND(T76*0.8,0)</f>
        <v>402</v>
      </c>
      <c r="S76" s="68">
        <v>452</v>
      </c>
      <c r="T76" s="94">
        <v>502</v>
      </c>
      <c r="U76" s="32">
        <f>VLOOKUP(B:B,[2]Sheet1!$A$1:$B$65536,2,0)</f>
        <v>258</v>
      </c>
      <c r="V76" s="32">
        <f t="shared" si="24"/>
        <v>-144</v>
      </c>
      <c r="W76" s="32" t="s">
        <v>25</v>
      </c>
      <c r="X76" s="90">
        <f>U76*0.15</f>
        <v>38.7</v>
      </c>
      <c r="Y76" s="90">
        <f>V76*0.05</f>
        <v>-7.2</v>
      </c>
      <c r="Z76" s="32">
        <f t="shared" si="25"/>
        <v>64</v>
      </c>
      <c r="AA76" s="32">
        <f t="shared" si="26"/>
        <v>-7</v>
      </c>
    </row>
    <row r="77" spans="1:27">
      <c r="A77" s="80">
        <v>72</v>
      </c>
      <c r="B77" s="80">
        <v>103639</v>
      </c>
      <c r="C77" s="77" t="s">
        <v>99</v>
      </c>
      <c r="D77" s="66" t="str">
        <f>VLOOKUP(B:B,[1]查询时间段分门店销售汇总!$B:$F,5,0)</f>
        <v>B2</v>
      </c>
      <c r="E77" s="17" t="s">
        <v>81</v>
      </c>
      <c r="F77" s="66">
        <f>ROUND(H77*0.8,0)</f>
        <v>440</v>
      </c>
      <c r="G77" s="68">
        <v>495</v>
      </c>
      <c r="H77" s="68">
        <v>550</v>
      </c>
      <c r="I77" s="68">
        <v>515.46</v>
      </c>
      <c r="J77" s="68">
        <v>117.8</v>
      </c>
      <c r="K77" s="68">
        <v>51</v>
      </c>
      <c r="L77" s="68"/>
      <c r="M77" s="68">
        <f t="shared" si="22"/>
        <v>684.26</v>
      </c>
      <c r="N77" s="68">
        <f t="shared" si="23"/>
        <v>244.26</v>
      </c>
      <c r="O77" s="68" t="s">
        <v>9</v>
      </c>
      <c r="P77" s="68">
        <f t="shared" si="27"/>
        <v>55.3414</v>
      </c>
      <c r="Q77" s="68"/>
      <c r="R77" s="66">
        <f>ROUND(T77*0.8,0)</f>
        <v>1142</v>
      </c>
      <c r="S77" s="68">
        <v>1285</v>
      </c>
      <c r="T77" s="94">
        <v>1428</v>
      </c>
      <c r="U77" s="32">
        <f>VLOOKUP(B:B,[2]Sheet1!$A$1:$B$65536,2,0)</f>
        <v>3569.24</v>
      </c>
      <c r="V77" s="32">
        <f t="shared" si="24"/>
        <v>2427.24</v>
      </c>
      <c r="W77" s="32" t="s">
        <v>9</v>
      </c>
      <c r="X77" s="90">
        <f>U77*0.25</f>
        <v>892.31</v>
      </c>
      <c r="Y77" s="90"/>
      <c r="Z77" s="32">
        <f t="shared" si="25"/>
        <v>948</v>
      </c>
      <c r="AA77" s="32">
        <f t="shared" si="26"/>
        <v>0</v>
      </c>
    </row>
    <row r="78" spans="1:27">
      <c r="A78" s="80">
        <v>73</v>
      </c>
      <c r="B78" s="16">
        <v>104430</v>
      </c>
      <c r="C78" s="77" t="s">
        <v>100</v>
      </c>
      <c r="D78" s="66"/>
      <c r="E78" s="16" t="s">
        <v>81</v>
      </c>
      <c r="F78" s="66">
        <f>ROUND(H78*0.8,0)</f>
        <v>144</v>
      </c>
      <c r="G78" s="68">
        <v>162</v>
      </c>
      <c r="H78" s="68">
        <v>180</v>
      </c>
      <c r="I78" s="68">
        <v>168.55</v>
      </c>
      <c r="J78" s="68">
        <v>36.52</v>
      </c>
      <c r="K78" s="68"/>
      <c r="L78" s="68"/>
      <c r="M78" s="68">
        <f t="shared" si="22"/>
        <v>205.07</v>
      </c>
      <c r="N78" s="68">
        <f t="shared" si="23"/>
        <v>61.07</v>
      </c>
      <c r="O78" s="68" t="s">
        <v>9</v>
      </c>
      <c r="P78" s="68">
        <f t="shared" si="27"/>
        <v>16.9955</v>
      </c>
      <c r="Q78" s="68"/>
      <c r="R78" s="66">
        <f>ROUND(T78*0.8,0)</f>
        <v>208</v>
      </c>
      <c r="S78" s="68">
        <v>234</v>
      </c>
      <c r="T78" s="95">
        <v>260</v>
      </c>
      <c r="U78" s="32">
        <f>VLOOKUP(B:B,[2]Sheet1!$A$1:$B$65536,2,0)</f>
        <v>149.32</v>
      </c>
      <c r="V78" s="32">
        <f t="shared" si="24"/>
        <v>-58.68</v>
      </c>
      <c r="W78" s="32" t="s">
        <v>25</v>
      </c>
      <c r="X78" s="90">
        <f>U78*0.15</f>
        <v>22.398</v>
      </c>
      <c r="Y78" s="90">
        <f>V78*0.05</f>
        <v>-2.934</v>
      </c>
      <c r="Z78" s="32">
        <f t="shared" si="25"/>
        <v>39</v>
      </c>
      <c r="AA78" s="32">
        <f t="shared" si="26"/>
        <v>-3</v>
      </c>
    </row>
    <row r="79" spans="1:27">
      <c r="A79" s="80">
        <v>74</v>
      </c>
      <c r="B79" s="102">
        <v>105396</v>
      </c>
      <c r="C79" s="77" t="s">
        <v>101</v>
      </c>
      <c r="D79" s="102"/>
      <c r="E79" s="102" t="s">
        <v>81</v>
      </c>
      <c r="F79" s="66">
        <f>ROUND(H79*0.8,0)</f>
        <v>0</v>
      </c>
      <c r="G79" s="68">
        <v>0</v>
      </c>
      <c r="H79" s="68">
        <v>0</v>
      </c>
      <c r="I79" s="68">
        <v>665.75</v>
      </c>
      <c r="J79" s="68">
        <v>156</v>
      </c>
      <c r="K79" s="68"/>
      <c r="L79" s="68"/>
      <c r="M79" s="68">
        <f t="shared" si="22"/>
        <v>821.75</v>
      </c>
      <c r="N79" s="68">
        <f t="shared" si="23"/>
        <v>821.75</v>
      </c>
      <c r="O79" s="68" t="s">
        <v>7</v>
      </c>
      <c r="P79" s="68">
        <f>I79*0.05+J79*0.03+K79*0.04+L79*0.02</f>
        <v>37.9675</v>
      </c>
      <c r="Q79" s="68"/>
      <c r="R79" s="66">
        <f>ROUND(T79*0.8,0)</f>
        <v>0</v>
      </c>
      <c r="S79" s="68">
        <v>0</v>
      </c>
      <c r="T79" s="94">
        <v>0</v>
      </c>
      <c r="U79" s="32">
        <f>VLOOKUP(B:B,[2]Sheet1!$A$1:$B$65536,2,0)</f>
        <v>944.73</v>
      </c>
      <c r="V79" s="32">
        <f t="shared" si="24"/>
        <v>944.73</v>
      </c>
      <c r="W79" s="32" t="s">
        <v>7</v>
      </c>
      <c r="X79" s="90">
        <f>U79*0.15</f>
        <v>141.7095</v>
      </c>
      <c r="Y79" s="90"/>
      <c r="Z79" s="32">
        <f t="shared" si="25"/>
        <v>180</v>
      </c>
      <c r="AA79" s="32">
        <f t="shared" si="26"/>
        <v>0</v>
      </c>
    </row>
    <row r="80" customFormat="1" spans="1:27">
      <c r="A80" s="80">
        <v>75</v>
      </c>
      <c r="B80" s="16">
        <v>105751</v>
      </c>
      <c r="C80" s="81" t="s">
        <v>102</v>
      </c>
      <c r="D80" s="102"/>
      <c r="E80" s="102" t="s">
        <v>81</v>
      </c>
      <c r="F80" s="66"/>
      <c r="G80" s="68"/>
      <c r="H80" s="68"/>
      <c r="I80" s="68">
        <v>542</v>
      </c>
      <c r="J80" s="68"/>
      <c r="K80" s="68">
        <v>32</v>
      </c>
      <c r="L80" s="68"/>
      <c r="M80" s="68">
        <f t="shared" si="22"/>
        <v>574</v>
      </c>
      <c r="N80" s="68">
        <f t="shared" si="23"/>
        <v>574</v>
      </c>
      <c r="O80" s="68" t="s">
        <v>7</v>
      </c>
      <c r="P80" s="68">
        <f>I80*0.05+J80*0.03+K80*0.04+L80*0.02</f>
        <v>28.38</v>
      </c>
      <c r="Q80" s="68"/>
      <c r="R80" s="66"/>
      <c r="S80" s="68"/>
      <c r="T80" s="94"/>
      <c r="U80" s="32">
        <f>VLOOKUP(B:B,[2]Sheet1!$A$1:$B$65536,2,0)</f>
        <v>190.5</v>
      </c>
      <c r="V80" s="32">
        <f t="shared" si="24"/>
        <v>190.5</v>
      </c>
      <c r="W80" s="32" t="s">
        <v>7</v>
      </c>
      <c r="X80" s="90">
        <f>U80*0.15</f>
        <v>28.575</v>
      </c>
      <c r="Y80" s="105"/>
      <c r="Z80" s="32">
        <f t="shared" si="25"/>
        <v>57</v>
      </c>
      <c r="AA80" s="32">
        <f t="shared" si="26"/>
        <v>0</v>
      </c>
    </row>
    <row r="81" customFormat="1" spans="1:27">
      <c r="A81" s="80">
        <v>76</v>
      </c>
      <c r="B81" s="16">
        <v>105910</v>
      </c>
      <c r="C81" s="81" t="s">
        <v>103</v>
      </c>
      <c r="D81" s="102"/>
      <c r="E81" s="102" t="s">
        <v>81</v>
      </c>
      <c r="F81" s="66"/>
      <c r="G81" s="68"/>
      <c r="H81" s="68"/>
      <c r="I81" s="68">
        <v>208.8</v>
      </c>
      <c r="J81" s="68"/>
      <c r="K81" s="68"/>
      <c r="L81" s="68"/>
      <c r="M81" s="68">
        <f t="shared" si="22"/>
        <v>208.8</v>
      </c>
      <c r="N81" s="68">
        <f t="shared" si="23"/>
        <v>208.8</v>
      </c>
      <c r="O81" s="68" t="s">
        <v>7</v>
      </c>
      <c r="P81" s="68">
        <f>I81*0.05+J81*0.03+K81*0.04+L81*0.02</f>
        <v>10.44</v>
      </c>
      <c r="Q81" s="68"/>
      <c r="R81" s="66"/>
      <c r="S81" s="68"/>
      <c r="T81" s="94"/>
      <c r="U81" s="32"/>
      <c r="V81" s="32"/>
      <c r="W81" s="32" t="s">
        <v>7</v>
      </c>
      <c r="X81" s="90">
        <f>U81*0.15</f>
        <v>0</v>
      </c>
      <c r="Y81" s="105"/>
      <c r="Z81" s="32">
        <f t="shared" si="25"/>
        <v>10</v>
      </c>
      <c r="AA81" s="32">
        <f t="shared" si="26"/>
        <v>0</v>
      </c>
    </row>
    <row r="82" s="56" customFormat="1" spans="1:27">
      <c r="A82" s="78"/>
      <c r="B82" s="78"/>
      <c r="C82" s="60"/>
      <c r="D82" s="79"/>
      <c r="E82" s="78" t="s">
        <v>81</v>
      </c>
      <c r="F82" s="79">
        <f>SUM(F59:F81)</f>
        <v>12174</v>
      </c>
      <c r="G82" s="79">
        <f t="shared" ref="G82:AA82" si="28">SUM(G59:G81)</f>
        <v>13675</v>
      </c>
      <c r="H82" s="79">
        <f t="shared" si="28"/>
        <v>15170</v>
      </c>
      <c r="I82" s="79">
        <f t="shared" si="28"/>
        <v>27771.6</v>
      </c>
      <c r="J82" s="79">
        <f t="shared" si="28"/>
        <v>4391.37</v>
      </c>
      <c r="K82" s="79">
        <f t="shared" si="28"/>
        <v>765.42</v>
      </c>
      <c r="L82" s="79">
        <f t="shared" si="28"/>
        <v>1058.1</v>
      </c>
      <c r="M82" s="79">
        <f t="shared" si="28"/>
        <v>33986.49</v>
      </c>
      <c r="N82" s="79">
        <f t="shared" si="28"/>
        <v>21812.49</v>
      </c>
      <c r="O82" s="79">
        <f t="shared" si="28"/>
        <v>0</v>
      </c>
      <c r="P82" s="79">
        <f t="shared" si="28"/>
        <v>2708.5499</v>
      </c>
      <c r="Q82" s="79">
        <f t="shared" si="28"/>
        <v>-6.2829</v>
      </c>
      <c r="R82" s="79">
        <f t="shared" si="28"/>
        <v>28421</v>
      </c>
      <c r="S82" s="79">
        <f t="shared" si="28"/>
        <v>31896.2</v>
      </c>
      <c r="T82" s="79">
        <f t="shared" si="28"/>
        <v>35378.4</v>
      </c>
      <c r="U82" s="79">
        <f t="shared" si="28"/>
        <v>36674.25</v>
      </c>
      <c r="V82" s="79">
        <f t="shared" si="28"/>
        <v>8253.25</v>
      </c>
      <c r="W82" s="79">
        <f t="shared" si="28"/>
        <v>0</v>
      </c>
      <c r="X82" s="79">
        <f t="shared" si="28"/>
        <v>8599.3075</v>
      </c>
      <c r="Y82" s="79">
        <f t="shared" si="28"/>
        <v>-599.734</v>
      </c>
      <c r="Z82" s="79">
        <f t="shared" si="28"/>
        <v>11307</v>
      </c>
      <c r="AA82" s="79">
        <f t="shared" si="28"/>
        <v>-607</v>
      </c>
    </row>
    <row r="83" spans="1:27">
      <c r="A83" s="80">
        <v>77</v>
      </c>
      <c r="B83" s="80">
        <v>307</v>
      </c>
      <c r="C83" s="77" t="s">
        <v>104</v>
      </c>
      <c r="D83" s="66" t="str">
        <f>VLOOKUP(B:B,[1]查询时间段分门店销售汇总!$B:$F,5,0)</f>
        <v>T</v>
      </c>
      <c r="E83" s="80" t="s">
        <v>105</v>
      </c>
      <c r="F83" s="66">
        <f>ROUND(H83*0.8,0)</f>
        <v>3295</v>
      </c>
      <c r="G83" s="68">
        <v>3707</v>
      </c>
      <c r="H83" s="68">
        <v>4119</v>
      </c>
      <c r="I83" s="68">
        <v>8416.81999999999</v>
      </c>
      <c r="J83" s="68">
        <v>2499.37</v>
      </c>
      <c r="K83" s="68">
        <v>92</v>
      </c>
      <c r="L83" s="68">
        <v>200</v>
      </c>
      <c r="M83" s="68">
        <f t="shared" si="22"/>
        <v>11208.19</v>
      </c>
      <c r="N83" s="68">
        <f t="shared" si="23"/>
        <v>7913.18999999999</v>
      </c>
      <c r="O83" s="68" t="s">
        <v>9</v>
      </c>
      <c r="P83" s="68">
        <f>I83*0.09+J83*0.05+K83*0.06+L83*0.04</f>
        <v>896.002299999999</v>
      </c>
      <c r="Q83" s="68"/>
      <c r="R83" s="66">
        <f>ROUND(T83*0.8,0)</f>
        <v>13465</v>
      </c>
      <c r="S83" s="68">
        <v>15148</v>
      </c>
      <c r="T83" s="104">
        <v>16831</v>
      </c>
      <c r="U83" s="32">
        <f>VLOOKUP(B:B,[2]Sheet1!$A$1:$B$65536,2,0)</f>
        <v>18549.2</v>
      </c>
      <c r="V83" s="32">
        <f t="shared" si="24"/>
        <v>5084.2</v>
      </c>
      <c r="W83" s="32" t="s">
        <v>9</v>
      </c>
      <c r="X83" s="90">
        <f>U83*0.25</f>
        <v>4637.3</v>
      </c>
      <c r="Y83" s="90"/>
      <c r="Z83" s="32">
        <f t="shared" si="25"/>
        <v>5533</v>
      </c>
      <c r="AA83" s="32">
        <f t="shared" si="26"/>
        <v>0</v>
      </c>
    </row>
    <row r="84" customFormat="1" spans="1:27">
      <c r="A84" s="80">
        <v>78</v>
      </c>
      <c r="B84" s="16">
        <v>106066</v>
      </c>
      <c r="C84" s="81" t="s">
        <v>106</v>
      </c>
      <c r="D84" s="66"/>
      <c r="E84" s="80" t="s">
        <v>105</v>
      </c>
      <c r="F84" s="66"/>
      <c r="G84" s="68"/>
      <c r="H84" s="68"/>
      <c r="I84" s="68">
        <v>756.94</v>
      </c>
      <c r="J84" s="68">
        <v>39.39</v>
      </c>
      <c r="K84" s="68"/>
      <c r="L84" s="68"/>
      <c r="M84" s="68">
        <f t="shared" si="22"/>
        <v>796.33</v>
      </c>
      <c r="N84" s="68">
        <f t="shared" si="23"/>
        <v>796.33</v>
      </c>
      <c r="O84" s="68" t="s">
        <v>7</v>
      </c>
      <c r="P84" s="68">
        <f>I84*0.05+J84*0.03+K84*0.04+L84*0.02</f>
        <v>39.0287</v>
      </c>
      <c r="Q84" s="68"/>
      <c r="R84" s="66"/>
      <c r="S84" s="68"/>
      <c r="T84" s="104"/>
      <c r="U84" s="32">
        <f>VLOOKUP(B:B,[2]Sheet1!$A$1:$B$65536,2,0)</f>
        <v>855</v>
      </c>
      <c r="V84" s="32">
        <f t="shared" si="24"/>
        <v>855</v>
      </c>
      <c r="W84" s="32" t="s">
        <v>7</v>
      </c>
      <c r="X84" s="90">
        <f>U84*0.15</f>
        <v>128.25</v>
      </c>
      <c r="Y84" s="105"/>
      <c r="Z84" s="32">
        <f t="shared" si="25"/>
        <v>167</v>
      </c>
      <c r="AA84" s="32">
        <f t="shared" si="26"/>
        <v>0</v>
      </c>
    </row>
    <row r="85" s="56" customFormat="1" spans="1:27">
      <c r="A85" s="78"/>
      <c r="B85" s="78"/>
      <c r="C85" s="60"/>
      <c r="D85" s="79"/>
      <c r="E85" s="78" t="s">
        <v>105</v>
      </c>
      <c r="F85" s="79">
        <f>SUM(F83:F84)</f>
        <v>3295</v>
      </c>
      <c r="G85" s="79">
        <f t="shared" ref="G85:AA85" si="29">SUM(G83:G84)</f>
        <v>3707</v>
      </c>
      <c r="H85" s="79">
        <f t="shared" si="29"/>
        <v>4119</v>
      </c>
      <c r="I85" s="79">
        <f t="shared" si="29"/>
        <v>9173.75999999999</v>
      </c>
      <c r="J85" s="79">
        <f t="shared" si="29"/>
        <v>2538.76</v>
      </c>
      <c r="K85" s="79">
        <f t="shared" si="29"/>
        <v>92</v>
      </c>
      <c r="L85" s="79">
        <f t="shared" si="29"/>
        <v>200</v>
      </c>
      <c r="M85" s="79">
        <f t="shared" si="29"/>
        <v>12004.52</v>
      </c>
      <c r="N85" s="79">
        <f t="shared" si="29"/>
        <v>8709.51999999999</v>
      </c>
      <c r="O85" s="79">
        <f t="shared" si="29"/>
        <v>0</v>
      </c>
      <c r="P85" s="79">
        <f t="shared" si="29"/>
        <v>935.030999999999</v>
      </c>
      <c r="Q85" s="79">
        <f t="shared" si="29"/>
        <v>0</v>
      </c>
      <c r="R85" s="79">
        <f t="shared" si="29"/>
        <v>13465</v>
      </c>
      <c r="S85" s="79">
        <f t="shared" si="29"/>
        <v>15148</v>
      </c>
      <c r="T85" s="79">
        <f t="shared" si="29"/>
        <v>16831</v>
      </c>
      <c r="U85" s="79">
        <f t="shared" si="29"/>
        <v>19404.2</v>
      </c>
      <c r="V85" s="79">
        <f t="shared" si="29"/>
        <v>5939.2</v>
      </c>
      <c r="W85" s="79">
        <f t="shared" si="29"/>
        <v>0</v>
      </c>
      <c r="X85" s="79">
        <f t="shared" si="29"/>
        <v>4765.55</v>
      </c>
      <c r="Y85" s="79">
        <f t="shared" si="29"/>
        <v>0</v>
      </c>
      <c r="Z85" s="79">
        <f t="shared" si="29"/>
        <v>5700</v>
      </c>
      <c r="AA85" s="79">
        <f t="shared" si="29"/>
        <v>0</v>
      </c>
    </row>
    <row r="86" spans="1:27">
      <c r="A86" s="80">
        <v>79</v>
      </c>
      <c r="B86" s="80">
        <v>343</v>
      </c>
      <c r="C86" s="77" t="s">
        <v>107</v>
      </c>
      <c r="D86" s="66" t="str">
        <f>VLOOKUP(B:B,[1]查询时间段分门店销售汇总!$B:$F,5,0)</f>
        <v>A1</v>
      </c>
      <c r="E86" s="80" t="s">
        <v>108</v>
      </c>
      <c r="F86" s="66">
        <f t="shared" ref="F85:F111" si="30">ROUND(H86*0.8,0)</f>
        <v>1184</v>
      </c>
      <c r="G86" s="68">
        <v>1332</v>
      </c>
      <c r="H86" s="68">
        <v>1480</v>
      </c>
      <c r="I86" s="68">
        <v>537.95</v>
      </c>
      <c r="J86" s="68">
        <v>187.93</v>
      </c>
      <c r="K86" s="68">
        <v>353</v>
      </c>
      <c r="L86" s="68">
        <v>112.2</v>
      </c>
      <c r="M86" s="68">
        <f t="shared" si="22"/>
        <v>1191.08</v>
      </c>
      <c r="N86" s="68">
        <f t="shared" si="23"/>
        <v>7.07999999999993</v>
      </c>
      <c r="O86" s="68" t="s">
        <v>7</v>
      </c>
      <c r="P86" s="68">
        <f>I86*0.05+J86*0.03+K86*0.04+L86*0.02</f>
        <v>48.8994</v>
      </c>
      <c r="Q86" s="68"/>
      <c r="R86" s="66">
        <f t="shared" ref="R85:R111" si="31">ROUND(T86*0.8,0)</f>
        <v>3825</v>
      </c>
      <c r="S86" s="68">
        <v>4303</v>
      </c>
      <c r="T86" s="94">
        <v>4781</v>
      </c>
      <c r="U86" s="32">
        <f>VLOOKUP(B:B,[2]Sheet1!$A$1:$B$65536,2,0)</f>
        <v>2704.8</v>
      </c>
      <c r="V86" s="32">
        <f t="shared" si="24"/>
        <v>-1120.2</v>
      </c>
      <c r="W86" s="32" t="s">
        <v>25</v>
      </c>
      <c r="X86" s="90">
        <f>U86*0.15</f>
        <v>405.72</v>
      </c>
      <c r="Y86" s="90">
        <f>V86*0.05</f>
        <v>-56.01</v>
      </c>
      <c r="Z86" s="32">
        <f t="shared" si="25"/>
        <v>455</v>
      </c>
      <c r="AA86" s="32">
        <f t="shared" si="26"/>
        <v>-56</v>
      </c>
    </row>
    <row r="87" spans="1:27">
      <c r="A87" s="80">
        <v>80</v>
      </c>
      <c r="B87" s="80">
        <v>357</v>
      </c>
      <c r="C87" s="77" t="s">
        <v>109</v>
      </c>
      <c r="D87" s="66" t="str">
        <f>VLOOKUP(B:B,[1]查询时间段分门店销售汇总!$B:$F,5,0)</f>
        <v>B1</v>
      </c>
      <c r="E87" s="80" t="s">
        <v>108</v>
      </c>
      <c r="F87" s="66">
        <f t="shared" si="30"/>
        <v>530</v>
      </c>
      <c r="G87" s="68">
        <v>597</v>
      </c>
      <c r="H87" s="68">
        <v>663</v>
      </c>
      <c r="I87" s="68">
        <v>693.3</v>
      </c>
      <c r="J87" s="68"/>
      <c r="K87" s="68">
        <v>92</v>
      </c>
      <c r="L87" s="68"/>
      <c r="M87" s="68">
        <f t="shared" si="22"/>
        <v>785.3</v>
      </c>
      <c r="N87" s="68">
        <f t="shared" si="23"/>
        <v>255.3</v>
      </c>
      <c r="O87" s="68" t="s">
        <v>9</v>
      </c>
      <c r="P87" s="68">
        <f>I87*0.09+J87*0.05+K87*0.06+L87*0.04</f>
        <v>67.917</v>
      </c>
      <c r="Q87" s="68"/>
      <c r="R87" s="66">
        <f t="shared" si="31"/>
        <v>1454</v>
      </c>
      <c r="S87" s="68">
        <v>1636</v>
      </c>
      <c r="T87" s="94">
        <v>1818</v>
      </c>
      <c r="U87" s="32">
        <f>VLOOKUP(B:B,[2]Sheet1!$A$1:$B$65536,2,0)</f>
        <v>8855.9</v>
      </c>
      <c r="V87" s="32">
        <f t="shared" si="24"/>
        <v>7401.9</v>
      </c>
      <c r="W87" s="32" t="s">
        <v>9</v>
      </c>
      <c r="X87" s="90">
        <f>U87*0.25</f>
        <v>2213.975</v>
      </c>
      <c r="Y87" s="90"/>
      <c r="Z87" s="32">
        <f t="shared" si="25"/>
        <v>2282</v>
      </c>
      <c r="AA87" s="32">
        <f t="shared" si="26"/>
        <v>0</v>
      </c>
    </row>
    <row r="88" spans="1:27">
      <c r="A88" s="80">
        <v>81</v>
      </c>
      <c r="B88" s="80">
        <v>359</v>
      </c>
      <c r="C88" s="77" t="s">
        <v>110</v>
      </c>
      <c r="D88" s="66" t="str">
        <f>VLOOKUP(B:B,[1]查询时间段分门店销售汇总!$B:$F,5,0)</f>
        <v>A2</v>
      </c>
      <c r="E88" s="80" t="s">
        <v>108</v>
      </c>
      <c r="F88" s="66">
        <f t="shared" si="30"/>
        <v>718</v>
      </c>
      <c r="G88" s="68">
        <v>807</v>
      </c>
      <c r="H88" s="68">
        <v>897</v>
      </c>
      <c r="I88" s="68">
        <v>754.7</v>
      </c>
      <c r="J88" s="68">
        <v>612.37</v>
      </c>
      <c r="K88" s="68"/>
      <c r="L88" s="68"/>
      <c r="M88" s="68">
        <f t="shared" si="22"/>
        <v>1367.07</v>
      </c>
      <c r="N88" s="68">
        <f t="shared" si="23"/>
        <v>649.07</v>
      </c>
      <c r="O88" s="68" t="s">
        <v>9</v>
      </c>
      <c r="P88" s="68">
        <f>I88*0.09+J88*0.05+K88*0.06+L88*0.04</f>
        <v>98.5415</v>
      </c>
      <c r="Q88" s="68"/>
      <c r="R88" s="66">
        <f t="shared" si="31"/>
        <v>1750</v>
      </c>
      <c r="S88" s="68">
        <v>1968</v>
      </c>
      <c r="T88" s="94">
        <v>2187</v>
      </c>
      <c r="U88" s="32">
        <f>VLOOKUP(B:B,[2]Sheet1!$A$1:$B$65536,2,0)</f>
        <v>1570.44</v>
      </c>
      <c r="V88" s="32">
        <f t="shared" si="24"/>
        <v>-179.56</v>
      </c>
      <c r="W88" s="32" t="s">
        <v>25</v>
      </c>
      <c r="X88" s="90">
        <f>U88*0.15</f>
        <v>235.566</v>
      </c>
      <c r="Y88" s="90">
        <f>V88*0.05</f>
        <v>-8.978</v>
      </c>
      <c r="Z88" s="32">
        <f t="shared" si="25"/>
        <v>334</v>
      </c>
      <c r="AA88" s="32">
        <f t="shared" si="26"/>
        <v>-9</v>
      </c>
    </row>
    <row r="89" spans="1:27">
      <c r="A89" s="80">
        <v>82</v>
      </c>
      <c r="B89" s="80">
        <v>365</v>
      </c>
      <c r="C89" s="77" t="s">
        <v>111</v>
      </c>
      <c r="D89" s="66" t="str">
        <f>VLOOKUP(B:B,[1]查询时间段分门店销售汇总!$B:$F,5,0)</f>
        <v>A2</v>
      </c>
      <c r="E89" s="80" t="s">
        <v>108</v>
      </c>
      <c r="F89" s="66">
        <f t="shared" si="30"/>
        <v>734</v>
      </c>
      <c r="G89" s="68">
        <v>825</v>
      </c>
      <c r="H89" s="68">
        <v>917</v>
      </c>
      <c r="I89" s="68">
        <v>577.05</v>
      </c>
      <c r="J89" s="68">
        <v>197.4</v>
      </c>
      <c r="K89" s="68"/>
      <c r="L89" s="68">
        <v>66</v>
      </c>
      <c r="M89" s="68">
        <f t="shared" si="22"/>
        <v>840.45</v>
      </c>
      <c r="N89" s="68">
        <f t="shared" si="23"/>
        <v>106.45</v>
      </c>
      <c r="O89" s="68" t="s">
        <v>8</v>
      </c>
      <c r="P89" s="68">
        <f>I89*0.07+J89*0.04+K89*0.05+L89*0.03</f>
        <v>50.2695</v>
      </c>
      <c r="Q89" s="68"/>
      <c r="R89" s="66">
        <f t="shared" si="31"/>
        <v>2019</v>
      </c>
      <c r="S89" s="68">
        <v>2272</v>
      </c>
      <c r="T89" s="94">
        <v>2524</v>
      </c>
      <c r="U89" s="32">
        <f>VLOOKUP(B:B,[2]Sheet1!$A$1:$B$65536,2,0)</f>
        <v>6898.82</v>
      </c>
      <c r="V89" s="32">
        <f t="shared" si="24"/>
        <v>4879.82</v>
      </c>
      <c r="W89" s="32" t="s">
        <v>9</v>
      </c>
      <c r="X89" s="90">
        <f>U89*0.25</f>
        <v>1724.705</v>
      </c>
      <c r="Y89" s="90"/>
      <c r="Z89" s="32">
        <f t="shared" si="25"/>
        <v>1775</v>
      </c>
      <c r="AA89" s="32">
        <f t="shared" si="26"/>
        <v>0</v>
      </c>
    </row>
    <row r="90" spans="1:27">
      <c r="A90" s="80">
        <v>83</v>
      </c>
      <c r="B90" s="80">
        <v>379</v>
      </c>
      <c r="C90" s="77" t="s">
        <v>112</v>
      </c>
      <c r="D90" s="66" t="str">
        <f>VLOOKUP(B:B,[1]查询时间段分门店销售汇总!$B:$F,5,0)</f>
        <v>B1</v>
      </c>
      <c r="E90" s="80" t="s">
        <v>108</v>
      </c>
      <c r="F90" s="66">
        <f t="shared" si="30"/>
        <v>535</v>
      </c>
      <c r="G90" s="68">
        <v>602</v>
      </c>
      <c r="H90" s="68">
        <v>669</v>
      </c>
      <c r="I90" s="68">
        <v>664.78</v>
      </c>
      <c r="J90" s="68">
        <v>183.8</v>
      </c>
      <c r="K90" s="68">
        <v>206.53</v>
      </c>
      <c r="L90" s="68">
        <v>122.1</v>
      </c>
      <c r="M90" s="68">
        <f t="shared" si="22"/>
        <v>1177.21</v>
      </c>
      <c r="N90" s="68">
        <f t="shared" si="23"/>
        <v>642.21</v>
      </c>
      <c r="O90" s="68" t="s">
        <v>9</v>
      </c>
      <c r="P90" s="68">
        <f t="shared" ref="P90:P95" si="32">I90*0.09+J90*0.05+K90*0.06+L90*0.04</f>
        <v>86.296</v>
      </c>
      <c r="Q90" s="68"/>
      <c r="R90" s="66">
        <f t="shared" si="31"/>
        <v>1344</v>
      </c>
      <c r="S90" s="68">
        <v>1512</v>
      </c>
      <c r="T90" s="94">
        <v>1680</v>
      </c>
      <c r="U90" s="32">
        <f>VLOOKUP(B:B,[2]Sheet1!$A$1:$B$65536,2,0)</f>
        <v>1122.36</v>
      </c>
      <c r="V90" s="32">
        <f t="shared" si="24"/>
        <v>-221.64</v>
      </c>
      <c r="W90" s="32" t="s">
        <v>25</v>
      </c>
      <c r="X90" s="90">
        <f>U90*0.15</f>
        <v>168.354</v>
      </c>
      <c r="Y90" s="90">
        <f>V90*0.05</f>
        <v>-11.082</v>
      </c>
      <c r="Z90" s="32">
        <f t="shared" si="25"/>
        <v>255</v>
      </c>
      <c r="AA90" s="32">
        <f t="shared" si="26"/>
        <v>-11</v>
      </c>
    </row>
    <row r="91" spans="1:27">
      <c r="A91" s="80">
        <v>84</v>
      </c>
      <c r="B91" s="80">
        <v>513</v>
      </c>
      <c r="C91" s="77" t="s">
        <v>113</v>
      </c>
      <c r="D91" s="66" t="str">
        <f>VLOOKUP(B:B,[1]查询时间段分门店销售汇总!$B:$F,5,0)</f>
        <v>A2</v>
      </c>
      <c r="E91" s="80" t="s">
        <v>108</v>
      </c>
      <c r="F91" s="66">
        <f t="shared" si="30"/>
        <v>676</v>
      </c>
      <c r="G91" s="68">
        <v>761</v>
      </c>
      <c r="H91" s="68">
        <v>845</v>
      </c>
      <c r="I91" s="68">
        <v>679.84</v>
      </c>
      <c r="J91" s="68">
        <v>117</v>
      </c>
      <c r="K91" s="68"/>
      <c r="L91" s="68">
        <v>66.33</v>
      </c>
      <c r="M91" s="68">
        <f t="shared" si="22"/>
        <v>863.17</v>
      </c>
      <c r="N91" s="68">
        <f t="shared" si="23"/>
        <v>187.17</v>
      </c>
      <c r="O91" s="68" t="s">
        <v>9</v>
      </c>
      <c r="P91" s="68">
        <f t="shared" si="32"/>
        <v>69.6888</v>
      </c>
      <c r="Q91" s="68"/>
      <c r="R91" s="66">
        <f t="shared" si="31"/>
        <v>1657</v>
      </c>
      <c r="S91" s="68">
        <v>1864</v>
      </c>
      <c r="T91" s="94">
        <v>2071</v>
      </c>
      <c r="U91" s="32">
        <f>VLOOKUP(B:B,[2]Sheet1!$A$1:$B$65536,2,0)</f>
        <v>708.5</v>
      </c>
      <c r="V91" s="32">
        <f t="shared" si="24"/>
        <v>-948.5</v>
      </c>
      <c r="W91" s="32" t="s">
        <v>25</v>
      </c>
      <c r="X91" s="90">
        <f>U91*0.15</f>
        <v>106.275</v>
      </c>
      <c r="Y91" s="90">
        <f>V91*0.05</f>
        <v>-47.425</v>
      </c>
      <c r="Z91" s="32">
        <f t="shared" si="25"/>
        <v>176</v>
      </c>
      <c r="AA91" s="32">
        <f t="shared" si="26"/>
        <v>-47</v>
      </c>
    </row>
    <row r="92" spans="1:27">
      <c r="A92" s="80">
        <v>85</v>
      </c>
      <c r="B92" s="80">
        <v>570</v>
      </c>
      <c r="C92" s="77" t="s">
        <v>114</v>
      </c>
      <c r="D92" s="66" t="str">
        <f>VLOOKUP(B:B,[1]查询时间段分门店销售汇总!$B:$F,5,0)</f>
        <v>B2 </v>
      </c>
      <c r="E92" s="80" t="s">
        <v>108</v>
      </c>
      <c r="F92" s="66">
        <f t="shared" si="30"/>
        <v>396</v>
      </c>
      <c r="G92" s="68">
        <v>446</v>
      </c>
      <c r="H92" s="68">
        <v>495</v>
      </c>
      <c r="I92" s="68">
        <v>686.05</v>
      </c>
      <c r="J92" s="68">
        <v>267.15</v>
      </c>
      <c r="K92" s="68"/>
      <c r="L92" s="68"/>
      <c r="M92" s="68">
        <f t="shared" si="22"/>
        <v>953.2</v>
      </c>
      <c r="N92" s="68">
        <f t="shared" si="23"/>
        <v>557.2</v>
      </c>
      <c r="O92" s="68" t="s">
        <v>9</v>
      </c>
      <c r="P92" s="68">
        <f t="shared" si="32"/>
        <v>75.102</v>
      </c>
      <c r="Q92" s="68"/>
      <c r="R92" s="66">
        <f t="shared" si="31"/>
        <v>956</v>
      </c>
      <c r="S92" s="68">
        <v>1076</v>
      </c>
      <c r="T92" s="94">
        <v>1195</v>
      </c>
      <c r="U92" s="32">
        <f>VLOOKUP(B:B,[2]Sheet1!$A$1:$B$65536,2,0)</f>
        <v>750.57</v>
      </c>
      <c r="V92" s="32">
        <f t="shared" si="24"/>
        <v>-205.43</v>
      </c>
      <c r="W92" s="32" t="s">
        <v>25</v>
      </c>
      <c r="X92" s="90">
        <f>U92*0.15</f>
        <v>112.5855</v>
      </c>
      <c r="Y92" s="90">
        <f>V92*0.05</f>
        <v>-10.2715</v>
      </c>
      <c r="Z92" s="32">
        <f t="shared" si="25"/>
        <v>188</v>
      </c>
      <c r="AA92" s="32">
        <f t="shared" si="26"/>
        <v>-10</v>
      </c>
    </row>
    <row r="93" spans="1:27">
      <c r="A93" s="80">
        <v>86</v>
      </c>
      <c r="B93" s="80">
        <v>745</v>
      </c>
      <c r="C93" s="77" t="s">
        <v>115</v>
      </c>
      <c r="D93" s="66" t="str">
        <f>VLOOKUP(B:B,[1]查询时间段分门店销售汇总!$B:$F,5,0)</f>
        <v>B2 </v>
      </c>
      <c r="E93" s="80" t="s">
        <v>108</v>
      </c>
      <c r="F93" s="66">
        <f t="shared" si="30"/>
        <v>447</v>
      </c>
      <c r="G93" s="68">
        <v>503</v>
      </c>
      <c r="H93" s="68">
        <v>559</v>
      </c>
      <c r="I93" s="68">
        <v>293.91</v>
      </c>
      <c r="J93" s="68">
        <v>205.55</v>
      </c>
      <c r="K93" s="68">
        <v>76.5</v>
      </c>
      <c r="L93" s="68">
        <v>112.2</v>
      </c>
      <c r="M93" s="68">
        <f t="shared" si="22"/>
        <v>688.16</v>
      </c>
      <c r="N93" s="68">
        <f t="shared" si="23"/>
        <v>241.16</v>
      </c>
      <c r="O93" s="68" t="s">
        <v>9</v>
      </c>
      <c r="P93" s="68">
        <f t="shared" si="32"/>
        <v>45.8074</v>
      </c>
      <c r="Q93" s="68"/>
      <c r="R93" s="66">
        <f t="shared" si="31"/>
        <v>1074</v>
      </c>
      <c r="S93" s="68">
        <v>1208</v>
      </c>
      <c r="T93" s="94">
        <v>1342</v>
      </c>
      <c r="U93" s="32">
        <f>VLOOKUP(B:B,[2]Sheet1!$A$1:$B$65536,2,0)</f>
        <v>888</v>
      </c>
      <c r="V93" s="32">
        <f t="shared" si="24"/>
        <v>-186</v>
      </c>
      <c r="W93" s="32" t="s">
        <v>25</v>
      </c>
      <c r="X93" s="90">
        <f>U93*0.15</f>
        <v>133.2</v>
      </c>
      <c r="Y93" s="90">
        <f>V93*0.05</f>
        <v>-9.3</v>
      </c>
      <c r="Z93" s="32">
        <f t="shared" si="25"/>
        <v>179</v>
      </c>
      <c r="AA93" s="32">
        <f t="shared" si="26"/>
        <v>-9</v>
      </c>
    </row>
    <row r="94" spans="1:27">
      <c r="A94" s="80">
        <v>87</v>
      </c>
      <c r="B94" s="80">
        <v>582</v>
      </c>
      <c r="C94" s="77" t="s">
        <v>116</v>
      </c>
      <c r="D94" s="66" t="str">
        <f>VLOOKUP(B:B,[1]查询时间段分门店销售汇总!$B:$F,5,0)</f>
        <v>A1</v>
      </c>
      <c r="E94" s="80" t="s">
        <v>108</v>
      </c>
      <c r="F94" s="66">
        <f t="shared" si="30"/>
        <v>1218</v>
      </c>
      <c r="G94" s="68">
        <v>1370</v>
      </c>
      <c r="H94" s="68">
        <v>1522</v>
      </c>
      <c r="I94" s="68">
        <v>997.849999999999</v>
      </c>
      <c r="J94" s="68">
        <v>1136.1</v>
      </c>
      <c r="K94" s="68">
        <v>320</v>
      </c>
      <c r="L94" s="68">
        <v>136</v>
      </c>
      <c r="M94" s="68">
        <f t="shared" si="22"/>
        <v>2589.95</v>
      </c>
      <c r="N94" s="68">
        <f t="shared" si="23"/>
        <v>1371.95</v>
      </c>
      <c r="O94" s="68" t="s">
        <v>9</v>
      </c>
      <c r="P94" s="68">
        <f t="shared" si="32"/>
        <v>171.2515</v>
      </c>
      <c r="Q94" s="68"/>
      <c r="R94" s="66">
        <f t="shared" si="31"/>
        <v>4602</v>
      </c>
      <c r="S94" s="68">
        <v>5178</v>
      </c>
      <c r="T94" s="94">
        <v>5753</v>
      </c>
      <c r="U94" s="32">
        <f>VLOOKUP(B:B,[2]Sheet1!$A$1:$B$65536,2,0)</f>
        <v>7068.21</v>
      </c>
      <c r="V94" s="32">
        <f t="shared" si="24"/>
        <v>2466.21</v>
      </c>
      <c r="W94" s="32" t="s">
        <v>9</v>
      </c>
      <c r="X94" s="90">
        <f>U94*0.25</f>
        <v>1767.0525</v>
      </c>
      <c r="Y94" s="90"/>
      <c r="Z94" s="32">
        <f t="shared" si="25"/>
        <v>1938</v>
      </c>
      <c r="AA94" s="32">
        <f t="shared" si="26"/>
        <v>0</v>
      </c>
    </row>
    <row r="95" spans="1:27">
      <c r="A95" s="80">
        <v>88</v>
      </c>
      <c r="B95" s="80">
        <v>347</v>
      </c>
      <c r="C95" s="77" t="s">
        <v>117</v>
      </c>
      <c r="D95" s="66" t="str">
        <f>VLOOKUP(B:B,[1]查询时间段分门店销售汇总!$B:$F,5,0)</f>
        <v>B2</v>
      </c>
      <c r="E95" s="80" t="s">
        <v>108</v>
      </c>
      <c r="F95" s="66">
        <f t="shared" si="30"/>
        <v>431</v>
      </c>
      <c r="G95" s="68">
        <v>485</v>
      </c>
      <c r="H95" s="68">
        <v>539</v>
      </c>
      <c r="I95" s="68">
        <v>873.2</v>
      </c>
      <c r="J95" s="68">
        <v>39.8</v>
      </c>
      <c r="K95" s="68">
        <v>30</v>
      </c>
      <c r="L95" s="68">
        <v>132</v>
      </c>
      <c r="M95" s="68">
        <f t="shared" si="22"/>
        <v>1075</v>
      </c>
      <c r="N95" s="68">
        <f t="shared" si="23"/>
        <v>644</v>
      </c>
      <c r="O95" s="68" t="s">
        <v>9</v>
      </c>
      <c r="P95" s="68">
        <f t="shared" si="32"/>
        <v>87.658</v>
      </c>
      <c r="Q95" s="68"/>
      <c r="R95" s="66">
        <f t="shared" si="31"/>
        <v>1133</v>
      </c>
      <c r="S95" s="68">
        <v>1274</v>
      </c>
      <c r="T95" s="94">
        <v>1416</v>
      </c>
      <c r="U95" s="32">
        <f>VLOOKUP(B:B,[2]Sheet1!$A$1:$B$65536,2,0)</f>
        <v>1131.32</v>
      </c>
      <c r="V95" s="32">
        <f t="shared" si="24"/>
        <v>-1.68000000000006</v>
      </c>
      <c r="W95" s="32" t="s">
        <v>25</v>
      </c>
      <c r="X95" s="90">
        <f>U95*0.15</f>
        <v>169.698</v>
      </c>
      <c r="Y95" s="90">
        <f>V95*0.05</f>
        <v>-0.0840000000000032</v>
      </c>
      <c r="Z95" s="32">
        <f t="shared" si="25"/>
        <v>257</v>
      </c>
      <c r="AA95" s="32">
        <f t="shared" si="26"/>
        <v>0</v>
      </c>
    </row>
    <row r="96" spans="1:27">
      <c r="A96" s="80">
        <v>89</v>
      </c>
      <c r="B96" s="80">
        <v>311</v>
      </c>
      <c r="C96" s="77" t="s">
        <v>118</v>
      </c>
      <c r="D96" s="66" t="str">
        <f>VLOOKUP(B:B,[1]查询时间段分门店销售汇总!$B:$F,5,0)</f>
        <v>B2 </v>
      </c>
      <c r="E96" s="80" t="s">
        <v>108</v>
      </c>
      <c r="F96" s="66">
        <f t="shared" si="30"/>
        <v>396</v>
      </c>
      <c r="G96" s="68">
        <v>446</v>
      </c>
      <c r="H96" s="68">
        <v>495</v>
      </c>
      <c r="I96" s="68">
        <v>19.9</v>
      </c>
      <c r="J96" s="68">
        <v>79.6</v>
      </c>
      <c r="K96" s="68">
        <v>60</v>
      </c>
      <c r="L96" s="68"/>
      <c r="M96" s="68">
        <f t="shared" si="22"/>
        <v>159.5</v>
      </c>
      <c r="N96" s="68">
        <f t="shared" si="23"/>
        <v>-236.5</v>
      </c>
      <c r="O96" s="68" t="s">
        <v>25</v>
      </c>
      <c r="P96" s="68">
        <f>I96*0.05+J96*0.03+K96*0.04+L96*0.02</f>
        <v>5.783</v>
      </c>
      <c r="Q96" s="68">
        <f>N96*0.03</f>
        <v>-7.095</v>
      </c>
      <c r="R96" s="66">
        <f t="shared" si="31"/>
        <v>1375</v>
      </c>
      <c r="S96" s="68">
        <v>1547</v>
      </c>
      <c r="T96" s="94">
        <v>1719</v>
      </c>
      <c r="U96" s="32">
        <f>VLOOKUP(B:B,[2]Sheet1!$A$1:$B$65536,2,0)</f>
        <v>742</v>
      </c>
      <c r="V96" s="32">
        <f t="shared" si="24"/>
        <v>-633</v>
      </c>
      <c r="W96" s="32" t="s">
        <v>25</v>
      </c>
      <c r="X96" s="90">
        <f>U96*0.15</f>
        <v>111.3</v>
      </c>
      <c r="Y96" s="90">
        <f>V96*0.05</f>
        <v>-31.65</v>
      </c>
      <c r="Z96" s="32">
        <f t="shared" si="25"/>
        <v>117</v>
      </c>
      <c r="AA96" s="32">
        <f t="shared" si="26"/>
        <v>-39</v>
      </c>
    </row>
    <row r="97" spans="1:27">
      <c r="A97" s="80">
        <v>90</v>
      </c>
      <c r="B97" s="80">
        <v>339</v>
      </c>
      <c r="C97" s="77" t="s">
        <v>119</v>
      </c>
      <c r="D97" s="66" t="str">
        <f>VLOOKUP(B:B,[1]查询时间段分门店销售汇总!$B:$F,5,0)</f>
        <v>B2</v>
      </c>
      <c r="E97" s="80" t="s">
        <v>108</v>
      </c>
      <c r="F97" s="66">
        <f t="shared" si="30"/>
        <v>366</v>
      </c>
      <c r="G97" s="68">
        <v>412</v>
      </c>
      <c r="H97" s="68">
        <v>458</v>
      </c>
      <c r="I97" s="68">
        <v>278.4</v>
      </c>
      <c r="J97" s="68">
        <v>39</v>
      </c>
      <c r="K97" s="68"/>
      <c r="L97" s="68"/>
      <c r="M97" s="68">
        <f t="shared" si="22"/>
        <v>317.4</v>
      </c>
      <c r="N97" s="68">
        <f t="shared" si="23"/>
        <v>-48.6</v>
      </c>
      <c r="O97" s="68" t="s">
        <v>25</v>
      </c>
      <c r="P97" s="68">
        <f>I97*0.05+J97*0.03+K97*0.04+L97*0.02</f>
        <v>15.09</v>
      </c>
      <c r="Q97" s="68">
        <f>N97*0.03</f>
        <v>-1.458</v>
      </c>
      <c r="R97" s="66">
        <f t="shared" si="31"/>
        <v>1009</v>
      </c>
      <c r="S97" s="68">
        <v>1135</v>
      </c>
      <c r="T97" s="94">
        <v>1261</v>
      </c>
      <c r="U97" s="32">
        <f>VLOOKUP(B:B,[2]Sheet1!$A$1:$B$65536,2,0)</f>
        <v>1020</v>
      </c>
      <c r="V97" s="32">
        <f t="shared" si="24"/>
        <v>11</v>
      </c>
      <c r="W97" s="32" t="s">
        <v>7</v>
      </c>
      <c r="X97" s="90">
        <f>U97*0.15</f>
        <v>153</v>
      </c>
      <c r="Y97" s="90"/>
      <c r="Z97" s="32">
        <f t="shared" si="25"/>
        <v>168</v>
      </c>
      <c r="AA97" s="32">
        <f t="shared" si="26"/>
        <v>-1</v>
      </c>
    </row>
    <row r="98" spans="1:27">
      <c r="A98" s="80">
        <v>91</v>
      </c>
      <c r="B98" s="69">
        <v>581</v>
      </c>
      <c r="C98" s="70" t="s">
        <v>120</v>
      </c>
      <c r="D98" s="66" t="str">
        <f>VLOOKUP(B:B,[1]查询时间段分门店销售汇总!$B:$F,5,0)</f>
        <v>A2</v>
      </c>
      <c r="E98" s="69" t="s">
        <v>108</v>
      </c>
      <c r="F98" s="66">
        <f t="shared" si="30"/>
        <v>693</v>
      </c>
      <c r="G98" s="68">
        <v>779</v>
      </c>
      <c r="H98" s="68">
        <v>866</v>
      </c>
      <c r="I98" s="68">
        <v>893.95</v>
      </c>
      <c r="J98" s="68">
        <v>255.15</v>
      </c>
      <c r="K98" s="68">
        <v>269.51</v>
      </c>
      <c r="L98" s="68">
        <v>66</v>
      </c>
      <c r="M98" s="68">
        <f t="shared" si="22"/>
        <v>1484.61</v>
      </c>
      <c r="N98" s="68">
        <f t="shared" si="23"/>
        <v>791.61</v>
      </c>
      <c r="O98" s="68" t="s">
        <v>9</v>
      </c>
      <c r="P98" s="68">
        <f>I98*0.09+J98*0.05+K98*0.06+L98*0.04</f>
        <v>112.0236</v>
      </c>
      <c r="Q98" s="68"/>
      <c r="R98" s="66">
        <f t="shared" si="31"/>
        <v>1974</v>
      </c>
      <c r="S98" s="68">
        <v>2220</v>
      </c>
      <c r="T98" s="91">
        <v>2467</v>
      </c>
      <c r="U98" s="32">
        <f>VLOOKUP(B:B,[2]Sheet1!$A$1:$B$65536,2,0)</f>
        <v>1811.5</v>
      </c>
      <c r="V98" s="32">
        <f t="shared" si="24"/>
        <v>-162.5</v>
      </c>
      <c r="W98" s="32" t="s">
        <v>25</v>
      </c>
      <c r="X98" s="90">
        <f>U98*0.15</f>
        <v>271.725</v>
      </c>
      <c r="Y98" s="90">
        <f>V98*0.05</f>
        <v>-8.125</v>
      </c>
      <c r="Z98" s="32">
        <f t="shared" si="25"/>
        <v>384</v>
      </c>
      <c r="AA98" s="32">
        <f t="shared" si="26"/>
        <v>-8</v>
      </c>
    </row>
    <row r="99" spans="1:27">
      <c r="A99" s="80">
        <v>92</v>
      </c>
      <c r="B99" s="80">
        <v>585</v>
      </c>
      <c r="C99" s="77" t="s">
        <v>121</v>
      </c>
      <c r="D99" s="66" t="str">
        <f>VLOOKUP(B:B,[1]查询时间段分门店销售汇总!$B:$F,5,0)</f>
        <v>A2</v>
      </c>
      <c r="E99" s="80" t="s">
        <v>108</v>
      </c>
      <c r="F99" s="66">
        <f t="shared" si="30"/>
        <v>887</v>
      </c>
      <c r="G99" s="68">
        <v>998</v>
      </c>
      <c r="H99" s="68">
        <v>1109</v>
      </c>
      <c r="I99" s="68">
        <v>1112.6</v>
      </c>
      <c r="J99" s="68">
        <v>146.16</v>
      </c>
      <c r="K99" s="68">
        <v>153.3</v>
      </c>
      <c r="L99" s="68">
        <v>66</v>
      </c>
      <c r="M99" s="68">
        <f t="shared" si="22"/>
        <v>1478.06</v>
      </c>
      <c r="N99" s="68">
        <f t="shared" si="23"/>
        <v>591.06</v>
      </c>
      <c r="O99" s="68" t="s">
        <v>9</v>
      </c>
      <c r="P99" s="68">
        <f>I99*0.09+J99*0.05+K99*0.06+L99*0.04</f>
        <v>119.28</v>
      </c>
      <c r="Q99" s="68"/>
      <c r="R99" s="66">
        <f t="shared" si="31"/>
        <v>2195</v>
      </c>
      <c r="S99" s="68">
        <v>2470</v>
      </c>
      <c r="T99" s="94">
        <v>2744</v>
      </c>
      <c r="U99" s="32">
        <f>VLOOKUP(B:B,[2]Sheet1!$A$1:$B$65536,2,0)</f>
        <v>3511.69</v>
      </c>
      <c r="V99" s="32">
        <f t="shared" si="24"/>
        <v>1316.69</v>
      </c>
      <c r="W99" s="32" t="s">
        <v>9</v>
      </c>
      <c r="X99" s="90">
        <f>U99*0.25</f>
        <v>877.9225</v>
      </c>
      <c r="Y99" s="90"/>
      <c r="Z99" s="32">
        <f t="shared" si="25"/>
        <v>997</v>
      </c>
      <c r="AA99" s="32">
        <f t="shared" si="26"/>
        <v>0</v>
      </c>
    </row>
    <row r="100" spans="1:27">
      <c r="A100" s="80">
        <v>93</v>
      </c>
      <c r="B100" s="80">
        <v>709</v>
      </c>
      <c r="C100" s="77" t="s">
        <v>122</v>
      </c>
      <c r="D100" s="66" t="str">
        <f>VLOOKUP(B:B,[1]查询时间段分门店销售汇总!$B:$F,5,0)</f>
        <v>B1</v>
      </c>
      <c r="E100" s="80" t="s">
        <v>108</v>
      </c>
      <c r="F100" s="66">
        <f t="shared" si="30"/>
        <v>426</v>
      </c>
      <c r="G100" s="68">
        <v>479</v>
      </c>
      <c r="H100" s="68">
        <v>532</v>
      </c>
      <c r="I100" s="68">
        <v>478.16</v>
      </c>
      <c r="J100" s="68">
        <v>899.34</v>
      </c>
      <c r="K100" s="68">
        <v>92</v>
      </c>
      <c r="L100" s="68">
        <v>66</v>
      </c>
      <c r="M100" s="68">
        <f t="shared" si="22"/>
        <v>1535.5</v>
      </c>
      <c r="N100" s="68">
        <f t="shared" si="23"/>
        <v>1109.5</v>
      </c>
      <c r="O100" s="68" t="s">
        <v>9</v>
      </c>
      <c r="P100" s="68">
        <f>I100*0.09+J100*0.05+K100*0.06+L100*0.04</f>
        <v>96.1614</v>
      </c>
      <c r="Q100" s="68"/>
      <c r="R100" s="66">
        <f t="shared" si="31"/>
        <v>1325</v>
      </c>
      <c r="S100" s="68">
        <v>1490</v>
      </c>
      <c r="T100" s="94">
        <v>1656</v>
      </c>
      <c r="U100" s="32">
        <f>VLOOKUP(B:B,[2]Sheet1!$A$1:$B$65536,2,0)</f>
        <v>1853.46</v>
      </c>
      <c r="V100" s="32">
        <f t="shared" si="24"/>
        <v>528.46</v>
      </c>
      <c r="W100" s="32" t="s">
        <v>9</v>
      </c>
      <c r="X100" s="90">
        <f>U100*0.25</f>
        <v>463.365</v>
      </c>
      <c r="Y100" s="90"/>
      <c r="Z100" s="32">
        <f t="shared" si="25"/>
        <v>560</v>
      </c>
      <c r="AA100" s="32">
        <f t="shared" si="26"/>
        <v>0</v>
      </c>
    </row>
    <row r="101" spans="1:27">
      <c r="A101" s="80">
        <v>94</v>
      </c>
      <c r="B101" s="80">
        <v>726</v>
      </c>
      <c r="C101" s="77" t="s">
        <v>123</v>
      </c>
      <c r="D101" s="66" t="str">
        <f>VLOOKUP(B:B,[1]查询时间段分门店销售汇总!$B:$F,5,0)</f>
        <v>A2</v>
      </c>
      <c r="E101" s="80" t="s">
        <v>108</v>
      </c>
      <c r="F101" s="66">
        <f t="shared" si="30"/>
        <v>752</v>
      </c>
      <c r="G101" s="68">
        <v>846</v>
      </c>
      <c r="H101" s="68">
        <v>940</v>
      </c>
      <c r="I101" s="68">
        <v>820.4</v>
      </c>
      <c r="J101" s="68">
        <v>572.4</v>
      </c>
      <c r="K101" s="68">
        <v>144</v>
      </c>
      <c r="L101" s="68">
        <v>130</v>
      </c>
      <c r="M101" s="68">
        <f t="shared" si="22"/>
        <v>1666.8</v>
      </c>
      <c r="N101" s="68">
        <f t="shared" si="23"/>
        <v>914.8</v>
      </c>
      <c r="O101" s="68" t="s">
        <v>9</v>
      </c>
      <c r="P101" s="68">
        <f>I101*0.09+J101*0.05+K101*0.06+L101*0.04</f>
        <v>116.296</v>
      </c>
      <c r="Q101" s="68"/>
      <c r="R101" s="66">
        <f t="shared" si="31"/>
        <v>1836</v>
      </c>
      <c r="S101" s="68">
        <v>2066</v>
      </c>
      <c r="T101" s="94">
        <v>2295</v>
      </c>
      <c r="U101" s="32">
        <f>VLOOKUP(B:B,[2]Sheet1!$A$1:$B$65536,2,0)</f>
        <v>2573.24</v>
      </c>
      <c r="V101" s="32">
        <f t="shared" si="24"/>
        <v>737.24</v>
      </c>
      <c r="W101" s="32" t="s">
        <v>9</v>
      </c>
      <c r="X101" s="90">
        <f>U101*0.25</f>
        <v>643.31</v>
      </c>
      <c r="Y101" s="90"/>
      <c r="Z101" s="32">
        <f t="shared" si="25"/>
        <v>760</v>
      </c>
      <c r="AA101" s="32">
        <f t="shared" si="26"/>
        <v>0</v>
      </c>
    </row>
    <row r="102" spans="1:27">
      <c r="A102" s="80">
        <v>95</v>
      </c>
      <c r="B102" s="80">
        <v>727</v>
      </c>
      <c r="C102" s="77" t="s">
        <v>124</v>
      </c>
      <c r="D102" s="66" t="str">
        <f>VLOOKUP(B:B,[1]查询时间段分门店销售汇总!$B:$F,5,0)</f>
        <v>B2 </v>
      </c>
      <c r="E102" s="80" t="s">
        <v>108</v>
      </c>
      <c r="F102" s="66">
        <f t="shared" si="30"/>
        <v>370</v>
      </c>
      <c r="G102" s="68">
        <v>417</v>
      </c>
      <c r="H102" s="68">
        <v>463</v>
      </c>
      <c r="I102" s="68">
        <v>170.03</v>
      </c>
      <c r="J102" s="68">
        <v>157.6</v>
      </c>
      <c r="K102" s="68"/>
      <c r="L102" s="68"/>
      <c r="M102" s="68">
        <f t="shared" si="22"/>
        <v>327.63</v>
      </c>
      <c r="N102" s="68">
        <f t="shared" si="23"/>
        <v>-42.37</v>
      </c>
      <c r="O102" s="68" t="s">
        <v>25</v>
      </c>
      <c r="P102" s="68">
        <f>I102*0.05+J102*0.03+K102*0.04+L102*0.02</f>
        <v>13.2295</v>
      </c>
      <c r="Q102" s="68">
        <f>N102*0.03</f>
        <v>-1.2711</v>
      </c>
      <c r="R102" s="66">
        <f t="shared" si="31"/>
        <v>956</v>
      </c>
      <c r="S102" s="68">
        <v>1076</v>
      </c>
      <c r="T102" s="94">
        <v>1195</v>
      </c>
      <c r="U102" s="32">
        <f>VLOOKUP(B:B,[2]Sheet1!$A$1:$B$65536,2,0)</f>
        <v>452.15</v>
      </c>
      <c r="V102" s="32">
        <f t="shared" si="24"/>
        <v>-503.85</v>
      </c>
      <c r="W102" s="32" t="s">
        <v>25</v>
      </c>
      <c r="X102" s="90">
        <f>U102*0.15</f>
        <v>67.8225</v>
      </c>
      <c r="Y102" s="90">
        <f>V102*0.05</f>
        <v>-25.1925</v>
      </c>
      <c r="Z102" s="32">
        <f t="shared" si="25"/>
        <v>81</v>
      </c>
      <c r="AA102" s="32">
        <f t="shared" si="26"/>
        <v>-26</v>
      </c>
    </row>
    <row r="103" spans="1:27">
      <c r="A103" s="80">
        <v>96</v>
      </c>
      <c r="B103" s="17">
        <v>730</v>
      </c>
      <c r="C103" s="77" t="s">
        <v>125</v>
      </c>
      <c r="D103" s="66" t="str">
        <f>VLOOKUP(B:B,[1]查询时间段分门店销售汇总!$B:$F,5,0)</f>
        <v>A2</v>
      </c>
      <c r="E103" s="17" t="s">
        <v>108</v>
      </c>
      <c r="F103" s="66">
        <f t="shared" si="30"/>
        <v>702</v>
      </c>
      <c r="G103" s="68">
        <v>790</v>
      </c>
      <c r="H103" s="68">
        <v>878</v>
      </c>
      <c r="I103" s="68">
        <v>1273.3</v>
      </c>
      <c r="J103" s="68">
        <v>343.3</v>
      </c>
      <c r="K103" s="68">
        <v>156</v>
      </c>
      <c r="L103" s="68"/>
      <c r="M103" s="68">
        <f t="shared" si="22"/>
        <v>1772.6</v>
      </c>
      <c r="N103" s="68">
        <f t="shared" si="23"/>
        <v>1070.6</v>
      </c>
      <c r="O103" s="68" t="s">
        <v>9</v>
      </c>
      <c r="P103" s="68">
        <f>I103*0.09+J103*0.05+K103*0.06+L103*0.04</f>
        <v>141.122</v>
      </c>
      <c r="Q103" s="68"/>
      <c r="R103" s="66">
        <f t="shared" si="31"/>
        <v>1910</v>
      </c>
      <c r="S103" s="68">
        <v>2148</v>
      </c>
      <c r="T103" s="94">
        <v>2387</v>
      </c>
      <c r="U103" s="32">
        <f>VLOOKUP(B:B,[2]Sheet1!$A$1:$B$65536,2,0)</f>
        <v>3818.17</v>
      </c>
      <c r="V103" s="32">
        <f t="shared" si="24"/>
        <v>1908.17</v>
      </c>
      <c r="W103" s="32" t="s">
        <v>9</v>
      </c>
      <c r="X103" s="90">
        <f>U103*0.25</f>
        <v>954.5425</v>
      </c>
      <c r="Y103" s="90"/>
      <c r="Z103" s="32">
        <f t="shared" si="25"/>
        <v>1096</v>
      </c>
      <c r="AA103" s="32">
        <f t="shared" si="26"/>
        <v>0</v>
      </c>
    </row>
    <row r="104" spans="1:27">
      <c r="A104" s="80">
        <v>97</v>
      </c>
      <c r="B104" s="80">
        <v>741</v>
      </c>
      <c r="C104" s="77" t="s">
        <v>126</v>
      </c>
      <c r="D104" s="66" t="str">
        <f>VLOOKUP(B:B,[1]查询时间段分门店销售汇总!$B:$F,5,0)</f>
        <v>C2</v>
      </c>
      <c r="E104" s="17" t="s">
        <v>108</v>
      </c>
      <c r="F104" s="66">
        <f t="shared" si="30"/>
        <v>253</v>
      </c>
      <c r="G104" s="68">
        <v>284</v>
      </c>
      <c r="H104" s="68">
        <v>316</v>
      </c>
      <c r="I104" s="68">
        <v>248.35</v>
      </c>
      <c r="J104" s="68"/>
      <c r="K104" s="68"/>
      <c r="L104" s="68"/>
      <c r="M104" s="68">
        <f t="shared" si="22"/>
        <v>248.35</v>
      </c>
      <c r="N104" s="68">
        <f t="shared" si="23"/>
        <v>-4.65000000000001</v>
      </c>
      <c r="O104" s="68" t="s">
        <v>25</v>
      </c>
      <c r="P104" s="68">
        <f>I104*0.05+J104*0.03+K104*0.04+L104*0.02</f>
        <v>12.4175</v>
      </c>
      <c r="Q104" s="68">
        <f>N104*0.03</f>
        <v>-0.1395</v>
      </c>
      <c r="R104" s="66">
        <f t="shared" si="31"/>
        <v>662</v>
      </c>
      <c r="S104" s="68">
        <v>744</v>
      </c>
      <c r="T104" s="94">
        <v>827</v>
      </c>
      <c r="U104" s="32">
        <f>VLOOKUP(B:B,[2]Sheet1!$A$1:$B$65536,2,0)</f>
        <v>165</v>
      </c>
      <c r="V104" s="32">
        <f t="shared" si="24"/>
        <v>-497</v>
      </c>
      <c r="W104" s="32" t="s">
        <v>25</v>
      </c>
      <c r="X104" s="90">
        <f>U104*0.15</f>
        <v>24.75</v>
      </c>
      <c r="Y104" s="90">
        <f>V104*0.05</f>
        <v>-24.85</v>
      </c>
      <c r="Z104" s="32">
        <f t="shared" si="25"/>
        <v>37</v>
      </c>
      <c r="AA104" s="32">
        <f t="shared" si="26"/>
        <v>-25</v>
      </c>
    </row>
    <row r="105" spans="1:27">
      <c r="A105" s="80">
        <v>98</v>
      </c>
      <c r="B105" s="80">
        <v>752</v>
      </c>
      <c r="C105" s="77" t="s">
        <v>127</v>
      </c>
      <c r="D105" s="66" t="str">
        <f>VLOOKUP(B:B,[1]查询时间段分门店销售汇总!$B:$F,5,0)</f>
        <v>C2</v>
      </c>
      <c r="E105" s="80" t="s">
        <v>108</v>
      </c>
      <c r="F105" s="66">
        <f t="shared" si="30"/>
        <v>194</v>
      </c>
      <c r="G105" s="68">
        <v>219</v>
      </c>
      <c r="H105" s="68">
        <v>243</v>
      </c>
      <c r="I105" s="68">
        <v>336.65</v>
      </c>
      <c r="J105" s="68">
        <v>78</v>
      </c>
      <c r="K105" s="68">
        <v>51</v>
      </c>
      <c r="L105" s="68"/>
      <c r="M105" s="68">
        <f t="shared" si="22"/>
        <v>465.65</v>
      </c>
      <c r="N105" s="68">
        <f t="shared" si="23"/>
        <v>271.65</v>
      </c>
      <c r="O105" s="68" t="s">
        <v>9</v>
      </c>
      <c r="P105" s="68">
        <f t="shared" ref="P105:P111" si="33">I105*0.09+J105*0.05+K105*0.06+L105*0.04</f>
        <v>37.2585</v>
      </c>
      <c r="Q105" s="68"/>
      <c r="R105" s="66">
        <f t="shared" si="31"/>
        <v>494</v>
      </c>
      <c r="S105" s="68">
        <v>556</v>
      </c>
      <c r="T105" s="94">
        <v>618</v>
      </c>
      <c r="U105" s="32">
        <f>VLOOKUP(B:B,[2]Sheet1!$A$1:$B$65536,2,0)</f>
        <v>849</v>
      </c>
      <c r="V105" s="32">
        <f t="shared" si="24"/>
        <v>355</v>
      </c>
      <c r="W105" s="32" t="s">
        <v>9</v>
      </c>
      <c r="X105" s="90">
        <f>U105*0.25</f>
        <v>212.25</v>
      </c>
      <c r="Y105" s="90"/>
      <c r="Z105" s="32">
        <f t="shared" si="25"/>
        <v>250</v>
      </c>
      <c r="AA105" s="32">
        <f t="shared" si="26"/>
        <v>0</v>
      </c>
    </row>
    <row r="106" spans="1:27">
      <c r="A106" s="80">
        <v>99</v>
      </c>
      <c r="B106" s="80">
        <v>102934</v>
      </c>
      <c r="C106" s="77" t="s">
        <v>128</v>
      </c>
      <c r="D106" s="66" t="str">
        <f>VLOOKUP(B:B,[1]查询时间段分门店销售汇总!$B:$F,5,0)</f>
        <v>A1</v>
      </c>
      <c r="E106" s="80" t="s">
        <v>108</v>
      </c>
      <c r="F106" s="66">
        <f t="shared" si="30"/>
        <v>718</v>
      </c>
      <c r="G106" s="68">
        <v>807</v>
      </c>
      <c r="H106" s="68">
        <v>897</v>
      </c>
      <c r="I106" s="68">
        <v>592.2</v>
      </c>
      <c r="J106" s="68">
        <v>564.8</v>
      </c>
      <c r="K106" s="68"/>
      <c r="L106" s="68"/>
      <c r="M106" s="68">
        <f t="shared" si="22"/>
        <v>1157</v>
      </c>
      <c r="N106" s="68">
        <f t="shared" si="23"/>
        <v>439</v>
      </c>
      <c r="O106" s="68" t="s">
        <v>9</v>
      </c>
      <c r="P106" s="68">
        <f t="shared" si="33"/>
        <v>81.538</v>
      </c>
      <c r="Q106" s="68"/>
      <c r="R106" s="66">
        <f t="shared" si="31"/>
        <v>1280</v>
      </c>
      <c r="S106" s="68">
        <v>1440</v>
      </c>
      <c r="T106" s="95">
        <v>1600</v>
      </c>
      <c r="U106" s="32">
        <f>VLOOKUP(B:B,[2]Sheet1!$A$1:$B$65536,2,0)</f>
        <v>2135.48</v>
      </c>
      <c r="V106" s="32">
        <f t="shared" si="24"/>
        <v>855.48</v>
      </c>
      <c r="W106" s="32" t="s">
        <v>9</v>
      </c>
      <c r="X106" s="90">
        <f>U106*0.25</f>
        <v>533.87</v>
      </c>
      <c r="Y106" s="90"/>
      <c r="Z106" s="32">
        <f t="shared" si="25"/>
        <v>615</v>
      </c>
      <c r="AA106" s="32">
        <f t="shared" si="26"/>
        <v>0</v>
      </c>
    </row>
    <row r="107" spans="1:27">
      <c r="A107" s="80">
        <v>100</v>
      </c>
      <c r="B107" s="80">
        <v>103198</v>
      </c>
      <c r="C107" s="77" t="s">
        <v>129</v>
      </c>
      <c r="D107" s="66" t="str">
        <f>VLOOKUP(B:B,[1]查询时间段分门店销售汇总!$B:$F,5,0)</f>
        <v>B2</v>
      </c>
      <c r="E107" s="80" t="s">
        <v>108</v>
      </c>
      <c r="F107" s="66">
        <f t="shared" si="30"/>
        <v>304</v>
      </c>
      <c r="G107" s="68">
        <v>342</v>
      </c>
      <c r="H107" s="68">
        <v>380</v>
      </c>
      <c r="I107" s="68">
        <v>247.51</v>
      </c>
      <c r="J107" s="68">
        <v>39</v>
      </c>
      <c r="K107" s="68">
        <v>143.25</v>
      </c>
      <c r="L107" s="68">
        <v>56.1</v>
      </c>
      <c r="M107" s="68">
        <f t="shared" si="22"/>
        <v>485.86</v>
      </c>
      <c r="N107" s="68">
        <f t="shared" si="23"/>
        <v>181.86</v>
      </c>
      <c r="O107" s="68" t="s">
        <v>9</v>
      </c>
      <c r="P107" s="68">
        <f t="shared" si="33"/>
        <v>35.0649</v>
      </c>
      <c r="Q107" s="68"/>
      <c r="R107" s="66">
        <f t="shared" si="31"/>
        <v>592</v>
      </c>
      <c r="S107" s="68">
        <v>666</v>
      </c>
      <c r="T107" s="95">
        <v>740</v>
      </c>
      <c r="U107" s="32">
        <f>VLOOKUP(B:B,[2]Sheet1!$A$1:$B$65536,2,0)</f>
        <v>587</v>
      </c>
      <c r="V107" s="32">
        <f t="shared" si="24"/>
        <v>-5</v>
      </c>
      <c r="W107" s="32" t="s">
        <v>25</v>
      </c>
      <c r="X107" s="90">
        <f>U107*0.15</f>
        <v>88.05</v>
      </c>
      <c r="Y107" s="90">
        <f>V107*0.05</f>
        <v>-0.25</v>
      </c>
      <c r="Z107" s="32">
        <f t="shared" si="25"/>
        <v>123</v>
      </c>
      <c r="AA107" s="32">
        <f t="shared" si="26"/>
        <v>0</v>
      </c>
    </row>
    <row r="108" spans="1:27">
      <c r="A108" s="80">
        <v>101</v>
      </c>
      <c r="B108" s="80">
        <v>102565</v>
      </c>
      <c r="C108" s="77" t="s">
        <v>130</v>
      </c>
      <c r="D108" s="66" t="str">
        <f>VLOOKUP(B:B,[1]查询时间段分门店销售汇总!$B:$F,5,0)</f>
        <v>B2</v>
      </c>
      <c r="E108" s="80" t="s">
        <v>108</v>
      </c>
      <c r="F108" s="66">
        <f t="shared" si="30"/>
        <v>718</v>
      </c>
      <c r="G108" s="68">
        <v>807</v>
      </c>
      <c r="H108" s="68">
        <v>897</v>
      </c>
      <c r="I108" s="68">
        <v>1346.44</v>
      </c>
      <c r="J108" s="68">
        <v>78.8</v>
      </c>
      <c r="K108" s="68"/>
      <c r="L108" s="68">
        <v>68</v>
      </c>
      <c r="M108" s="68">
        <f t="shared" si="22"/>
        <v>1493.24</v>
      </c>
      <c r="N108" s="68">
        <f t="shared" si="23"/>
        <v>775.24</v>
      </c>
      <c r="O108" s="68" t="s">
        <v>9</v>
      </c>
      <c r="P108" s="68">
        <f t="shared" si="33"/>
        <v>127.8396</v>
      </c>
      <c r="Q108" s="68"/>
      <c r="R108" s="66">
        <f t="shared" si="31"/>
        <v>719</v>
      </c>
      <c r="S108" s="68">
        <v>809</v>
      </c>
      <c r="T108" s="95">
        <v>899</v>
      </c>
      <c r="U108" s="32">
        <f>VLOOKUP(B:B,[2]Sheet1!$A$1:$B$65536,2,0)</f>
        <v>966.36</v>
      </c>
      <c r="V108" s="32">
        <f t="shared" si="24"/>
        <v>247.36</v>
      </c>
      <c r="W108" s="32" t="s">
        <v>9</v>
      </c>
      <c r="X108" s="90">
        <f>U108*0.25</f>
        <v>241.59</v>
      </c>
      <c r="Y108" s="90"/>
      <c r="Z108" s="32">
        <f t="shared" si="25"/>
        <v>369</v>
      </c>
      <c r="AA108" s="32">
        <f t="shared" si="26"/>
        <v>0</v>
      </c>
    </row>
    <row r="109" spans="1:27">
      <c r="A109" s="80">
        <v>102</v>
      </c>
      <c r="B109" s="80">
        <v>103199</v>
      </c>
      <c r="C109" s="77" t="s">
        <v>131</v>
      </c>
      <c r="D109" s="66" t="str">
        <f>VLOOKUP(B:B,[1]查询时间段分门店销售汇总!$B:$F,5,0)</f>
        <v>B2</v>
      </c>
      <c r="E109" s="80" t="s">
        <v>108</v>
      </c>
      <c r="F109" s="66">
        <f t="shared" si="30"/>
        <v>720</v>
      </c>
      <c r="G109" s="68">
        <v>810</v>
      </c>
      <c r="H109" s="68">
        <v>900</v>
      </c>
      <c r="I109" s="68">
        <v>1666.1</v>
      </c>
      <c r="J109" s="68">
        <v>36</v>
      </c>
      <c r="K109" s="68"/>
      <c r="L109" s="68">
        <v>192.1</v>
      </c>
      <c r="M109" s="68">
        <f t="shared" si="22"/>
        <v>1894.2</v>
      </c>
      <c r="N109" s="68">
        <f t="shared" si="23"/>
        <v>1174.2</v>
      </c>
      <c r="O109" s="68" t="s">
        <v>9</v>
      </c>
      <c r="P109" s="68">
        <f t="shared" si="33"/>
        <v>159.433</v>
      </c>
      <c r="Q109" s="68"/>
      <c r="R109" s="66">
        <f t="shared" si="31"/>
        <v>520</v>
      </c>
      <c r="S109" s="68">
        <v>585</v>
      </c>
      <c r="T109" s="95">
        <v>650</v>
      </c>
      <c r="U109" s="32">
        <f>VLOOKUP(B:B,[2]Sheet1!$A$1:$B$65536,2,0)</f>
        <v>904.43</v>
      </c>
      <c r="V109" s="32">
        <f t="shared" si="24"/>
        <v>384.43</v>
      </c>
      <c r="W109" s="32" t="s">
        <v>9</v>
      </c>
      <c r="X109" s="90">
        <f>U109*0.25</f>
        <v>226.1075</v>
      </c>
      <c r="Y109" s="90"/>
      <c r="Z109" s="32">
        <f t="shared" si="25"/>
        <v>386</v>
      </c>
      <c r="AA109" s="32">
        <f t="shared" si="26"/>
        <v>0</v>
      </c>
    </row>
    <row r="110" spans="1:27">
      <c r="A110" s="80">
        <v>103</v>
      </c>
      <c r="B110" s="16">
        <v>104429</v>
      </c>
      <c r="C110" s="77" t="s">
        <v>132</v>
      </c>
      <c r="D110" s="66"/>
      <c r="E110" s="16" t="s">
        <v>108</v>
      </c>
      <c r="F110" s="66">
        <f t="shared" si="30"/>
        <v>0</v>
      </c>
      <c r="G110" s="68">
        <v>0</v>
      </c>
      <c r="H110" s="68">
        <v>0</v>
      </c>
      <c r="I110" s="68">
        <v>45.96</v>
      </c>
      <c r="J110" s="68">
        <v>117</v>
      </c>
      <c r="K110" s="68"/>
      <c r="L110" s="68">
        <v>57.8</v>
      </c>
      <c r="M110" s="68">
        <f t="shared" si="22"/>
        <v>220.76</v>
      </c>
      <c r="N110" s="68">
        <f t="shared" si="23"/>
        <v>220.76</v>
      </c>
      <c r="O110" s="68" t="s">
        <v>7</v>
      </c>
      <c r="P110" s="68">
        <f>I110*0.05+J110*0.03+K110*0.04+L110*0.02</f>
        <v>6.964</v>
      </c>
      <c r="Q110" s="68"/>
      <c r="R110" s="66">
        <f t="shared" si="31"/>
        <v>0</v>
      </c>
      <c r="S110" s="68">
        <v>0</v>
      </c>
      <c r="T110" s="94">
        <v>0</v>
      </c>
      <c r="U110" s="32">
        <f>VLOOKUP(B:B,[2]Sheet1!$A$1:$B$65536,2,0)</f>
        <v>208</v>
      </c>
      <c r="V110" s="32">
        <f t="shared" si="24"/>
        <v>208</v>
      </c>
      <c r="W110" s="32" t="s">
        <v>7</v>
      </c>
      <c r="X110" s="90">
        <f>U110*0.15</f>
        <v>31.2</v>
      </c>
      <c r="Y110" s="90"/>
      <c r="Z110" s="32">
        <f t="shared" si="25"/>
        <v>38</v>
      </c>
      <c r="AA110" s="32">
        <f t="shared" si="26"/>
        <v>0</v>
      </c>
    </row>
    <row r="111" spans="1:27">
      <c r="A111" s="80">
        <v>104</v>
      </c>
      <c r="B111" s="16">
        <v>105267</v>
      </c>
      <c r="C111" s="77" t="s">
        <v>133</v>
      </c>
      <c r="D111" s="66"/>
      <c r="E111" s="16" t="s">
        <v>108</v>
      </c>
      <c r="F111" s="66">
        <f t="shared" si="30"/>
        <v>0</v>
      </c>
      <c r="G111" s="68">
        <v>0</v>
      </c>
      <c r="H111" s="68">
        <v>0</v>
      </c>
      <c r="I111" s="68">
        <v>215.62</v>
      </c>
      <c r="J111" s="68"/>
      <c r="K111" s="68">
        <v>32</v>
      </c>
      <c r="L111" s="68">
        <v>56.1</v>
      </c>
      <c r="M111" s="68">
        <f t="shared" si="22"/>
        <v>303.72</v>
      </c>
      <c r="N111" s="68">
        <f t="shared" si="23"/>
        <v>303.72</v>
      </c>
      <c r="O111" s="68" t="s">
        <v>7</v>
      </c>
      <c r="P111" s="68">
        <f>I111*0.05+J111*0.03+K111*0.04+L111*0.02</f>
        <v>13.183</v>
      </c>
      <c r="Q111" s="68"/>
      <c r="R111" s="66">
        <f t="shared" si="31"/>
        <v>0</v>
      </c>
      <c r="S111" s="68">
        <v>0</v>
      </c>
      <c r="T111" s="94">
        <v>0</v>
      </c>
      <c r="U111" s="32">
        <f>VLOOKUP(B:B,[2]Sheet1!$A$1:$B$65536,2,0)</f>
        <v>442.93</v>
      </c>
      <c r="V111" s="32">
        <f t="shared" si="24"/>
        <v>442.93</v>
      </c>
      <c r="W111" s="32" t="s">
        <v>7</v>
      </c>
      <c r="X111" s="90">
        <f>U111*0.15</f>
        <v>66.4395</v>
      </c>
      <c r="Y111" s="90"/>
      <c r="Z111" s="32">
        <f t="shared" si="25"/>
        <v>80</v>
      </c>
      <c r="AA111" s="32">
        <f t="shared" si="26"/>
        <v>0</v>
      </c>
    </row>
    <row r="112" s="56" customFormat="1" spans="1:27">
      <c r="A112" s="78"/>
      <c r="B112" s="78"/>
      <c r="C112" s="60"/>
      <c r="D112" s="79"/>
      <c r="E112" s="78" t="s">
        <v>108</v>
      </c>
      <c r="F112" s="79">
        <f>SUM(F86:F111)</f>
        <v>14368</v>
      </c>
      <c r="G112" s="79">
        <f t="shared" ref="G112:AA112" si="34">SUM(G86:G111)</f>
        <v>16164</v>
      </c>
      <c r="H112" s="79">
        <f t="shared" si="34"/>
        <v>17960</v>
      </c>
      <c r="I112" s="79">
        <f t="shared" si="34"/>
        <v>16504.2</v>
      </c>
      <c r="J112" s="79">
        <f t="shared" si="34"/>
        <v>6353.25</v>
      </c>
      <c r="K112" s="79">
        <f t="shared" si="34"/>
        <v>2179.09</v>
      </c>
      <c r="L112" s="79">
        <f t="shared" si="34"/>
        <v>1504.93</v>
      </c>
      <c r="M112" s="79">
        <f t="shared" si="34"/>
        <v>26541.47</v>
      </c>
      <c r="N112" s="79">
        <f t="shared" si="34"/>
        <v>12173.47</v>
      </c>
      <c r="O112" s="79">
        <f t="shared" si="34"/>
        <v>0</v>
      </c>
      <c r="P112" s="79">
        <f t="shared" si="34"/>
        <v>1894.1151</v>
      </c>
      <c r="Q112" s="79">
        <f t="shared" si="34"/>
        <v>-9.9636</v>
      </c>
      <c r="R112" s="79">
        <f t="shared" si="34"/>
        <v>36661</v>
      </c>
      <c r="S112" s="79">
        <f t="shared" si="34"/>
        <v>41243</v>
      </c>
      <c r="T112" s="79">
        <f t="shared" si="34"/>
        <v>45825</v>
      </c>
      <c r="U112" s="79">
        <f t="shared" si="34"/>
        <v>53739.33</v>
      </c>
      <c r="V112" s="79">
        <f t="shared" si="34"/>
        <v>17078.33</v>
      </c>
      <c r="W112" s="79">
        <f t="shared" si="34"/>
        <v>0</v>
      </c>
      <c r="X112" s="79">
        <f t="shared" si="34"/>
        <v>12004.3755</v>
      </c>
      <c r="Y112" s="79">
        <f t="shared" si="34"/>
        <v>-233.218</v>
      </c>
      <c r="Z112" s="79">
        <f t="shared" si="34"/>
        <v>13900</v>
      </c>
      <c r="AA112" s="79">
        <f t="shared" si="34"/>
        <v>-241</v>
      </c>
    </row>
    <row r="113" ht="13.5" spans="1:27">
      <c r="A113" s="80"/>
      <c r="B113" s="80"/>
      <c r="C113" s="77"/>
      <c r="D113" s="66"/>
      <c r="E113" s="80" t="s">
        <v>14</v>
      </c>
      <c r="F113" s="66">
        <f>F21+F38+F58+F82+F85+F112</f>
        <v>54090</v>
      </c>
      <c r="G113" s="66">
        <f t="shared" ref="G113:AA113" si="35">G21+G38+G58+G82+G85+G112</f>
        <v>60836</v>
      </c>
      <c r="H113" s="66">
        <f t="shared" si="35"/>
        <v>67568</v>
      </c>
      <c r="I113" s="66">
        <f t="shared" si="35"/>
        <v>88201.52</v>
      </c>
      <c r="J113" s="66">
        <f t="shared" si="35"/>
        <v>21842.76</v>
      </c>
      <c r="K113" s="66">
        <f t="shared" si="35"/>
        <v>6374.06</v>
      </c>
      <c r="L113" s="66">
        <f t="shared" si="35"/>
        <v>5582.52</v>
      </c>
      <c r="M113" s="66">
        <f t="shared" si="35"/>
        <v>122000.86</v>
      </c>
      <c r="N113" s="66">
        <f t="shared" si="35"/>
        <v>67910.86</v>
      </c>
      <c r="O113" s="66">
        <f t="shared" si="35"/>
        <v>0</v>
      </c>
      <c r="P113" s="66">
        <f t="shared" si="35"/>
        <v>9217.4014</v>
      </c>
      <c r="Q113" s="66">
        <f t="shared" si="35"/>
        <v>-49.8654</v>
      </c>
      <c r="R113" s="66">
        <f t="shared" si="35"/>
        <v>137791</v>
      </c>
      <c r="S113" s="66">
        <f t="shared" si="35"/>
        <v>154934.2</v>
      </c>
      <c r="T113" s="66">
        <f t="shared" si="35"/>
        <v>172086.4</v>
      </c>
      <c r="U113" s="66">
        <f t="shared" si="35"/>
        <v>185935.84</v>
      </c>
      <c r="V113" s="66">
        <f t="shared" si="35"/>
        <v>48144.84</v>
      </c>
      <c r="W113" s="66">
        <f t="shared" si="35"/>
        <v>0</v>
      </c>
      <c r="X113" s="66">
        <f t="shared" si="35"/>
        <v>42587.497</v>
      </c>
      <c r="Y113" s="66">
        <f t="shared" si="35"/>
        <v>-1549.6705</v>
      </c>
      <c r="Z113" s="66">
        <f t="shared" si="35"/>
        <v>51803</v>
      </c>
      <c r="AA113" s="66">
        <f t="shared" si="35"/>
        <v>-1598</v>
      </c>
    </row>
  </sheetData>
  <mergeCells count="3">
    <mergeCell ref="F1:Q1"/>
    <mergeCell ref="R1:Y1"/>
    <mergeCell ref="Z1:AA1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B8" sqref="B8"/>
    </sheetView>
  </sheetViews>
  <sheetFormatPr defaultColWidth="9" defaultRowHeight="14.25"/>
  <cols>
    <col min="1" max="2" width="9" style="5"/>
    <col min="3" max="3" width="12.875" style="5" customWidth="1"/>
    <col min="4" max="5" width="9" style="5"/>
    <col min="6" max="6" width="5.5" style="5" customWidth="1"/>
    <col min="7" max="7" width="7.25" style="5" customWidth="1"/>
    <col min="8" max="8" width="7.375" style="5" customWidth="1"/>
    <col min="9" max="9" width="6.75" style="5" customWidth="1"/>
    <col min="10" max="10" width="6.875" style="5" customWidth="1"/>
    <col min="11" max="11" width="6.375" style="5" customWidth="1"/>
    <col min="12" max="14" width="7.75" style="5" customWidth="1"/>
    <col min="15" max="15" width="16.25" style="5" customWidth="1"/>
    <col min="16" max="16" width="5.5" style="21" customWidth="1"/>
    <col min="17" max="16383" width="9" style="5"/>
  </cols>
  <sheetData>
    <row r="1" ht="31" customHeight="1" spans="1:16">
      <c r="A1" s="22" t="s">
        <v>134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45"/>
    </row>
    <row r="2" spans="1:16">
      <c r="A2" s="24"/>
      <c r="B2" s="25"/>
      <c r="C2" s="24"/>
      <c r="D2" s="24"/>
      <c r="E2" s="24"/>
      <c r="F2" s="24"/>
      <c r="G2" s="24"/>
      <c r="H2" s="26" t="s">
        <v>135</v>
      </c>
      <c r="I2" s="26"/>
      <c r="J2" s="26"/>
      <c r="K2" s="26"/>
      <c r="L2" s="26" t="s">
        <v>136</v>
      </c>
      <c r="M2" s="26"/>
      <c r="N2" s="26"/>
      <c r="O2" s="24"/>
      <c r="P2" s="46"/>
    </row>
    <row r="3" ht="21" customHeight="1" spans="1:16">
      <c r="A3" s="6" t="s">
        <v>137</v>
      </c>
      <c r="B3" s="27" t="s">
        <v>138</v>
      </c>
      <c r="C3" s="6" t="s">
        <v>139</v>
      </c>
      <c r="D3" s="6" t="s">
        <v>140</v>
      </c>
      <c r="E3" s="6" t="s">
        <v>141</v>
      </c>
      <c r="F3" s="6" t="s">
        <v>142</v>
      </c>
      <c r="G3" s="6" t="s">
        <v>143</v>
      </c>
      <c r="H3" s="6" t="s">
        <v>7</v>
      </c>
      <c r="I3" s="6" t="s">
        <v>144</v>
      </c>
      <c r="J3" s="6" t="s">
        <v>9</v>
      </c>
      <c r="K3" s="6" t="s">
        <v>18</v>
      </c>
      <c r="L3" s="6" t="s">
        <v>145</v>
      </c>
      <c r="M3" s="6" t="s">
        <v>144</v>
      </c>
      <c r="N3" s="6" t="s">
        <v>9</v>
      </c>
      <c r="O3" s="6" t="s">
        <v>146</v>
      </c>
      <c r="P3" s="46" t="s">
        <v>147</v>
      </c>
    </row>
    <row r="4" ht="61.5" spans="1:16">
      <c r="A4" s="24" t="s">
        <v>148</v>
      </c>
      <c r="B4" s="28">
        <v>75028</v>
      </c>
      <c r="C4" s="28" t="s">
        <v>149</v>
      </c>
      <c r="D4" s="29" t="s">
        <v>150</v>
      </c>
      <c r="E4" s="30" t="s">
        <v>151</v>
      </c>
      <c r="F4" s="31" t="s">
        <v>152</v>
      </c>
      <c r="G4" s="32">
        <v>25.8</v>
      </c>
      <c r="H4" s="33">
        <v>54054</v>
      </c>
      <c r="I4" s="33">
        <v>60836</v>
      </c>
      <c r="J4" s="33">
        <v>67568</v>
      </c>
      <c r="K4" s="47">
        <v>0.03</v>
      </c>
      <c r="L4" s="48">
        <v>0.05</v>
      </c>
      <c r="M4" s="48">
        <v>0.07</v>
      </c>
      <c r="N4" s="48">
        <v>0.09</v>
      </c>
      <c r="O4" s="49" t="s">
        <v>153</v>
      </c>
      <c r="P4" s="46" t="s">
        <v>154</v>
      </c>
    </row>
    <row r="5" ht="19" customHeight="1" spans="1:16">
      <c r="A5" s="24"/>
      <c r="B5" s="28">
        <v>171872</v>
      </c>
      <c r="C5" s="34" t="s">
        <v>155</v>
      </c>
      <c r="D5" s="29" t="s">
        <v>156</v>
      </c>
      <c r="E5" s="35" t="s">
        <v>157</v>
      </c>
      <c r="F5" s="32" t="s">
        <v>152</v>
      </c>
      <c r="G5" s="32">
        <v>26.9</v>
      </c>
      <c r="H5" s="33"/>
      <c r="I5" s="33"/>
      <c r="J5" s="33"/>
      <c r="K5" s="50"/>
      <c r="L5" s="48"/>
      <c r="M5" s="48"/>
      <c r="N5" s="48"/>
      <c r="O5" s="49"/>
      <c r="P5" s="46" t="s">
        <v>154</v>
      </c>
    </row>
    <row r="6" ht="36" spans="1:16">
      <c r="A6" s="24"/>
      <c r="B6" s="34">
        <v>134798</v>
      </c>
      <c r="C6" s="34" t="s">
        <v>11</v>
      </c>
      <c r="D6" s="34" t="s">
        <v>158</v>
      </c>
      <c r="E6" s="36" t="s">
        <v>159</v>
      </c>
      <c r="F6" s="32" t="s">
        <v>152</v>
      </c>
      <c r="G6" s="32">
        <v>42</v>
      </c>
      <c r="H6" s="33"/>
      <c r="I6" s="33"/>
      <c r="J6" s="33"/>
      <c r="K6" s="50"/>
      <c r="L6" s="51">
        <v>0.03</v>
      </c>
      <c r="M6" s="48">
        <v>0.04</v>
      </c>
      <c r="N6" s="48">
        <v>0.05</v>
      </c>
      <c r="O6" s="49"/>
      <c r="P6" s="46" t="s">
        <v>154</v>
      </c>
    </row>
    <row r="7" s="1" customFormat="1" ht="28" customHeight="1" spans="1:16">
      <c r="A7" s="37"/>
      <c r="B7" s="14">
        <v>118013</v>
      </c>
      <c r="C7" s="13" t="s">
        <v>160</v>
      </c>
      <c r="D7" s="14" t="s">
        <v>161</v>
      </c>
      <c r="E7" s="13" t="s">
        <v>162</v>
      </c>
      <c r="F7" s="12" t="s">
        <v>152</v>
      </c>
      <c r="G7" s="12">
        <v>30</v>
      </c>
      <c r="H7" s="38"/>
      <c r="I7" s="38"/>
      <c r="J7" s="38"/>
      <c r="K7" s="50"/>
      <c r="L7" s="52">
        <v>0.04</v>
      </c>
      <c r="M7" s="53">
        <v>0.05</v>
      </c>
      <c r="N7" s="53">
        <v>0.06</v>
      </c>
      <c r="O7" s="49" t="s">
        <v>153</v>
      </c>
      <c r="P7" s="46" t="s">
        <v>154</v>
      </c>
    </row>
    <row r="8" s="1" customFormat="1" ht="45" customHeight="1" spans="1:16">
      <c r="A8" s="37"/>
      <c r="B8" s="14">
        <v>179237</v>
      </c>
      <c r="C8" s="13" t="s">
        <v>160</v>
      </c>
      <c r="D8" s="14" t="s">
        <v>163</v>
      </c>
      <c r="E8" s="13" t="s">
        <v>162</v>
      </c>
      <c r="F8" s="12" t="s">
        <v>152</v>
      </c>
      <c r="G8" s="12">
        <v>68</v>
      </c>
      <c r="H8" s="38"/>
      <c r="I8" s="38"/>
      <c r="J8" s="38"/>
      <c r="K8" s="54"/>
      <c r="L8" s="52">
        <v>0.02</v>
      </c>
      <c r="M8" s="53">
        <v>0.03</v>
      </c>
      <c r="N8" s="53">
        <v>0.04</v>
      </c>
      <c r="O8" s="49"/>
      <c r="P8" s="46" t="s">
        <v>154</v>
      </c>
    </row>
    <row r="9" ht="24" spans="1:16">
      <c r="A9" s="24" t="s">
        <v>148</v>
      </c>
      <c r="B9" s="39"/>
      <c r="C9" s="40"/>
      <c r="D9" s="41"/>
      <c r="E9" s="42"/>
      <c r="F9" s="26"/>
      <c r="G9" s="26" t="s">
        <v>14</v>
      </c>
      <c r="H9" s="26">
        <f>SUM(H4:H8)</f>
        <v>54054</v>
      </c>
      <c r="I9" s="26">
        <f>SUM(I4:I8)</f>
        <v>60836</v>
      </c>
      <c r="J9" s="26">
        <f>SUM(J4:J8)</f>
        <v>67568</v>
      </c>
      <c r="K9" s="26">
        <v>3</v>
      </c>
      <c r="L9" s="26"/>
      <c r="M9" s="26"/>
      <c r="N9" s="26"/>
      <c r="O9" s="26"/>
      <c r="P9" s="46"/>
    </row>
    <row r="10" ht="77" customHeight="1" spans="1:16">
      <c r="A10" s="24" t="s">
        <v>1</v>
      </c>
      <c r="B10" s="28"/>
      <c r="C10" s="34" t="s">
        <v>1</v>
      </c>
      <c r="D10" s="28"/>
      <c r="E10" s="28"/>
      <c r="F10" s="31"/>
      <c r="G10" s="31"/>
      <c r="H10" s="43">
        <v>137669</v>
      </c>
      <c r="I10" s="43">
        <v>154934.2</v>
      </c>
      <c r="J10" s="43">
        <v>172086.4</v>
      </c>
      <c r="K10" s="48">
        <v>0.05</v>
      </c>
      <c r="L10" s="48">
        <v>0.15</v>
      </c>
      <c r="M10" s="48">
        <v>0.2</v>
      </c>
      <c r="N10" s="48">
        <v>0.25</v>
      </c>
      <c r="O10" s="55" t="s">
        <v>164</v>
      </c>
      <c r="P10" s="46" t="s">
        <v>154</v>
      </c>
    </row>
    <row r="11" ht="13.5" spans="1:15">
      <c r="A11" s="44"/>
      <c r="B11" s="4"/>
      <c r="C11" s="4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ht="13.5" spans="1:15">
      <c r="A12" s="44" t="s">
        <v>165</v>
      </c>
      <c r="B12" s="4"/>
      <c r="C12" s="4"/>
      <c r="D12" s="3"/>
      <c r="E12" s="3"/>
      <c r="F12" s="2" t="s">
        <v>166</v>
      </c>
      <c r="G12" s="2"/>
      <c r="H12" s="2"/>
      <c r="I12" s="2"/>
      <c r="J12" s="2"/>
      <c r="K12" s="2"/>
      <c r="L12" s="2"/>
      <c r="M12" s="2"/>
      <c r="N12" s="2"/>
      <c r="O12" s="3" t="s">
        <v>167</v>
      </c>
    </row>
  </sheetData>
  <mergeCells count="15">
    <mergeCell ref="A1:P1"/>
    <mergeCell ref="A2:G2"/>
    <mergeCell ref="H2:J2"/>
    <mergeCell ref="L2:N2"/>
    <mergeCell ref="K9:O9"/>
    <mergeCell ref="A4:A8"/>
    <mergeCell ref="H4:H8"/>
    <mergeCell ref="I4:I8"/>
    <mergeCell ref="J4:J8"/>
    <mergeCell ref="K4:K8"/>
    <mergeCell ref="L4:L5"/>
    <mergeCell ref="M4:M5"/>
    <mergeCell ref="N4:N5"/>
    <mergeCell ref="O4:O6"/>
    <mergeCell ref="O7:O8"/>
  </mergeCells>
  <pageMargins left="0.309027777777778" right="0.159027777777778" top="1" bottom="1" header="0.509027777777778" footer="0.509027777777778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4" workbookViewId="0">
      <selection activeCell="B4" sqref="B4"/>
    </sheetView>
  </sheetViews>
  <sheetFormatPr defaultColWidth="9" defaultRowHeight="14.25" outlineLevelCol="6"/>
  <cols>
    <col min="1" max="1" width="9" style="2"/>
    <col min="2" max="2" width="9" style="2" customWidth="1"/>
    <col min="3" max="3" width="21.75" style="2" customWidth="1"/>
    <col min="4" max="4" width="31.125" style="3" customWidth="1"/>
    <col min="5" max="5" width="23.875" style="3" customWidth="1"/>
    <col min="6" max="6" width="41" style="4" customWidth="1"/>
    <col min="7" max="7" width="5.75" style="2" customWidth="1"/>
    <col min="8" max="16384" width="9" style="5"/>
  </cols>
  <sheetData>
    <row r="1" spans="1:7">
      <c r="A1" s="6" t="s">
        <v>138</v>
      </c>
      <c r="B1" s="6"/>
      <c r="C1" s="6"/>
      <c r="D1" s="6" t="s">
        <v>139</v>
      </c>
      <c r="E1" s="6" t="s">
        <v>140</v>
      </c>
      <c r="F1" s="6" t="s">
        <v>141</v>
      </c>
      <c r="G1" s="6" t="s">
        <v>142</v>
      </c>
    </row>
    <row r="2" s="1" customFormat="1" spans="1:7">
      <c r="A2" s="7">
        <v>75028</v>
      </c>
      <c r="B2" s="8" t="s">
        <v>168</v>
      </c>
      <c r="C2" s="8" t="str">
        <f t="shared" ref="C2:C27" si="0">A2&amp;B2</f>
        <v>75028,</v>
      </c>
      <c r="D2" s="9" t="s">
        <v>149</v>
      </c>
      <c r="E2" s="10" t="s">
        <v>169</v>
      </c>
      <c r="F2" s="9" t="s">
        <v>170</v>
      </c>
      <c r="G2" s="8" t="s">
        <v>152</v>
      </c>
    </row>
    <row r="3" s="1" customFormat="1" spans="1:7">
      <c r="A3" s="7">
        <v>171872</v>
      </c>
      <c r="B3" s="8" t="s">
        <v>168</v>
      </c>
      <c r="C3" s="8" t="str">
        <f t="shared" si="0"/>
        <v>171872,</v>
      </c>
      <c r="D3" s="9" t="s">
        <v>155</v>
      </c>
      <c r="E3" s="10" t="s">
        <v>156</v>
      </c>
      <c r="F3" s="9" t="s">
        <v>157</v>
      </c>
      <c r="G3" s="8" t="s">
        <v>152</v>
      </c>
    </row>
    <row r="4" s="1" customFormat="1" spans="1:7">
      <c r="A4" s="7">
        <v>134798</v>
      </c>
      <c r="B4" s="8" t="s">
        <v>168</v>
      </c>
      <c r="C4" s="8" t="str">
        <f t="shared" si="0"/>
        <v>134798,</v>
      </c>
      <c r="D4" s="11" t="s">
        <v>11</v>
      </c>
      <c r="E4" s="10" t="s">
        <v>171</v>
      </c>
      <c r="F4" s="9" t="s">
        <v>159</v>
      </c>
      <c r="G4" s="8" t="s">
        <v>152</v>
      </c>
    </row>
    <row r="5" s="1" customFormat="1" spans="1:7">
      <c r="A5" s="12">
        <v>118013</v>
      </c>
      <c r="B5" s="8" t="s">
        <v>168</v>
      </c>
      <c r="C5" s="8" t="str">
        <f t="shared" si="0"/>
        <v>118013,</v>
      </c>
      <c r="D5" s="13" t="s">
        <v>160</v>
      </c>
      <c r="E5" s="14" t="s">
        <v>161</v>
      </c>
      <c r="F5" s="15" t="s">
        <v>162</v>
      </c>
      <c r="G5" s="8" t="s">
        <v>152</v>
      </c>
    </row>
    <row r="6" s="1" customFormat="1" spans="1:7">
      <c r="A6" s="12">
        <v>179237</v>
      </c>
      <c r="B6" s="8" t="s">
        <v>168</v>
      </c>
      <c r="C6" s="8" t="str">
        <f t="shared" si="0"/>
        <v>179237,</v>
      </c>
      <c r="D6" s="13" t="s">
        <v>160</v>
      </c>
      <c r="E6" s="14" t="s">
        <v>163</v>
      </c>
      <c r="F6" s="15" t="s">
        <v>162</v>
      </c>
      <c r="G6" s="8" t="s">
        <v>152</v>
      </c>
    </row>
    <row r="7" spans="1:7">
      <c r="A7" s="16">
        <v>105219</v>
      </c>
      <c r="B7" s="17" t="s">
        <v>168</v>
      </c>
      <c r="C7" s="17" t="str">
        <f t="shared" si="0"/>
        <v>105219,</v>
      </c>
      <c r="D7" s="18" t="s">
        <v>172</v>
      </c>
      <c r="E7" s="19" t="s">
        <v>173</v>
      </c>
      <c r="F7" s="20" t="s">
        <v>174</v>
      </c>
      <c r="G7" s="17"/>
    </row>
    <row r="8" spans="1:7">
      <c r="A8" s="16">
        <v>117372</v>
      </c>
      <c r="B8" s="17" t="s">
        <v>168</v>
      </c>
      <c r="C8" s="17" t="str">
        <f t="shared" si="0"/>
        <v>117372,</v>
      </c>
      <c r="D8" s="18" t="s">
        <v>175</v>
      </c>
      <c r="E8" s="19" t="s">
        <v>176</v>
      </c>
      <c r="F8" s="20" t="s">
        <v>174</v>
      </c>
      <c r="G8" s="17"/>
    </row>
    <row r="9" spans="1:7">
      <c r="A9" s="16">
        <v>105293</v>
      </c>
      <c r="B9" s="17" t="s">
        <v>168</v>
      </c>
      <c r="C9" s="17" t="str">
        <f t="shared" si="0"/>
        <v>105293,</v>
      </c>
      <c r="D9" s="18" t="s">
        <v>177</v>
      </c>
      <c r="E9" s="19" t="s">
        <v>178</v>
      </c>
      <c r="F9" s="20" t="s">
        <v>174</v>
      </c>
      <c r="G9" s="17" t="s">
        <v>179</v>
      </c>
    </row>
    <row r="10" spans="1:7">
      <c r="A10" s="16">
        <v>105315</v>
      </c>
      <c r="B10" s="17" t="s">
        <v>168</v>
      </c>
      <c r="C10" s="17" t="str">
        <f t="shared" si="0"/>
        <v>105315,</v>
      </c>
      <c r="D10" s="18" t="s">
        <v>180</v>
      </c>
      <c r="E10" s="19" t="s">
        <v>181</v>
      </c>
      <c r="F10" s="20" t="s">
        <v>174</v>
      </c>
      <c r="G10" s="17" t="s">
        <v>152</v>
      </c>
    </row>
    <row r="11" spans="1:7">
      <c r="A11" s="16">
        <v>105233</v>
      </c>
      <c r="B11" s="17" t="s">
        <v>168</v>
      </c>
      <c r="C11" s="17" t="str">
        <f t="shared" si="0"/>
        <v>105233,</v>
      </c>
      <c r="D11" s="18" t="s">
        <v>182</v>
      </c>
      <c r="E11" s="19" t="s">
        <v>183</v>
      </c>
      <c r="F11" s="20" t="s">
        <v>174</v>
      </c>
      <c r="G11" s="17" t="s">
        <v>179</v>
      </c>
    </row>
    <row r="12" spans="1:7">
      <c r="A12" s="16">
        <v>105229</v>
      </c>
      <c r="B12" s="17" t="s">
        <v>168</v>
      </c>
      <c r="C12" s="17" t="str">
        <f t="shared" si="0"/>
        <v>105229,</v>
      </c>
      <c r="D12" s="18" t="s">
        <v>184</v>
      </c>
      <c r="E12" s="19" t="s">
        <v>185</v>
      </c>
      <c r="F12" s="20" t="s">
        <v>174</v>
      </c>
      <c r="G12" s="17" t="s">
        <v>179</v>
      </c>
    </row>
    <row r="13" spans="1:7">
      <c r="A13" s="16">
        <v>106918</v>
      </c>
      <c r="B13" s="17" t="s">
        <v>168</v>
      </c>
      <c r="C13" s="17" t="str">
        <f t="shared" si="0"/>
        <v>106918,</v>
      </c>
      <c r="D13" s="18" t="s">
        <v>186</v>
      </c>
      <c r="E13" s="19" t="s">
        <v>187</v>
      </c>
      <c r="F13" s="20" t="s">
        <v>174</v>
      </c>
      <c r="G13" s="17" t="s">
        <v>152</v>
      </c>
    </row>
    <row r="14" spans="1:7">
      <c r="A14" s="16">
        <v>105226</v>
      </c>
      <c r="B14" s="17" t="s">
        <v>168</v>
      </c>
      <c r="C14" s="17" t="str">
        <f t="shared" si="0"/>
        <v>105226,</v>
      </c>
      <c r="D14" s="18" t="s">
        <v>188</v>
      </c>
      <c r="E14" s="19" t="s">
        <v>189</v>
      </c>
      <c r="F14" s="20" t="s">
        <v>174</v>
      </c>
      <c r="G14" s="17" t="s">
        <v>152</v>
      </c>
    </row>
    <row r="15" spans="1:7">
      <c r="A15" s="16">
        <v>117370</v>
      </c>
      <c r="B15" s="17" t="s">
        <v>168</v>
      </c>
      <c r="C15" s="17" t="str">
        <f t="shared" si="0"/>
        <v>117370,</v>
      </c>
      <c r="D15" s="18" t="s">
        <v>190</v>
      </c>
      <c r="E15" s="19" t="s">
        <v>191</v>
      </c>
      <c r="F15" s="20" t="s">
        <v>174</v>
      </c>
      <c r="G15" s="17" t="s">
        <v>152</v>
      </c>
    </row>
    <row r="16" spans="1:7">
      <c r="A16" s="16">
        <v>117371</v>
      </c>
      <c r="B16" s="17" t="s">
        <v>168</v>
      </c>
      <c r="C16" s="17" t="str">
        <f t="shared" si="0"/>
        <v>117371,</v>
      </c>
      <c r="D16" s="18" t="s">
        <v>192</v>
      </c>
      <c r="E16" s="19" t="s">
        <v>189</v>
      </c>
      <c r="F16" s="20" t="s">
        <v>174</v>
      </c>
      <c r="G16" s="17" t="s">
        <v>152</v>
      </c>
    </row>
    <row r="17" spans="1:7">
      <c r="A17" s="16">
        <v>105276</v>
      </c>
      <c r="B17" s="17" t="s">
        <v>168</v>
      </c>
      <c r="C17" s="17" t="str">
        <f t="shared" si="0"/>
        <v>105276,</v>
      </c>
      <c r="D17" s="18" t="s">
        <v>193</v>
      </c>
      <c r="E17" s="19" t="s">
        <v>194</v>
      </c>
      <c r="F17" s="20" t="s">
        <v>174</v>
      </c>
      <c r="G17" s="17" t="s">
        <v>152</v>
      </c>
    </row>
    <row r="18" spans="1:7">
      <c r="A18" s="16">
        <v>105227</v>
      </c>
      <c r="B18" s="17" t="s">
        <v>168</v>
      </c>
      <c r="C18" s="17" t="str">
        <f t="shared" si="0"/>
        <v>105227,</v>
      </c>
      <c r="D18" s="18" t="s">
        <v>195</v>
      </c>
      <c r="E18" s="19" t="s">
        <v>196</v>
      </c>
      <c r="F18" s="20" t="s">
        <v>174</v>
      </c>
      <c r="G18" s="17" t="s">
        <v>152</v>
      </c>
    </row>
    <row r="19" spans="1:7">
      <c r="A19" s="16">
        <v>105231</v>
      </c>
      <c r="B19" s="17" t="s">
        <v>168</v>
      </c>
      <c r="C19" s="17" t="str">
        <f t="shared" si="0"/>
        <v>105231,</v>
      </c>
      <c r="D19" s="18" t="s">
        <v>197</v>
      </c>
      <c r="E19" s="19" t="s">
        <v>189</v>
      </c>
      <c r="F19" s="20" t="s">
        <v>174</v>
      </c>
      <c r="G19" s="17" t="s">
        <v>152</v>
      </c>
    </row>
    <row r="20" spans="1:7">
      <c r="A20" s="16">
        <v>105224</v>
      </c>
      <c r="B20" s="17" t="s">
        <v>168</v>
      </c>
      <c r="C20" s="17" t="str">
        <f t="shared" si="0"/>
        <v>105224,</v>
      </c>
      <c r="D20" s="18" t="s">
        <v>198</v>
      </c>
      <c r="E20" s="19" t="s">
        <v>199</v>
      </c>
      <c r="F20" s="20" t="s">
        <v>174</v>
      </c>
      <c r="G20" s="17" t="s">
        <v>152</v>
      </c>
    </row>
    <row r="21" spans="1:7">
      <c r="A21" s="16">
        <v>105279</v>
      </c>
      <c r="B21" s="17" t="s">
        <v>168</v>
      </c>
      <c r="C21" s="17" t="str">
        <f t="shared" si="0"/>
        <v>105279,</v>
      </c>
      <c r="D21" s="18" t="s">
        <v>200</v>
      </c>
      <c r="E21" s="19" t="s">
        <v>189</v>
      </c>
      <c r="F21" s="20" t="s">
        <v>174</v>
      </c>
      <c r="G21" s="17" t="s">
        <v>152</v>
      </c>
    </row>
    <row r="22" spans="1:7">
      <c r="A22" s="16">
        <v>105221</v>
      </c>
      <c r="B22" s="17" t="s">
        <v>168</v>
      </c>
      <c r="C22" s="17" t="str">
        <f t="shared" si="0"/>
        <v>105221,</v>
      </c>
      <c r="D22" s="18" t="s">
        <v>201</v>
      </c>
      <c r="E22" s="19" t="s">
        <v>202</v>
      </c>
      <c r="F22" s="20" t="s">
        <v>174</v>
      </c>
      <c r="G22" s="17" t="s">
        <v>152</v>
      </c>
    </row>
    <row r="23" spans="1:7">
      <c r="A23" s="16">
        <v>130350</v>
      </c>
      <c r="B23" s="17" t="s">
        <v>168</v>
      </c>
      <c r="C23" s="17" t="str">
        <f t="shared" si="0"/>
        <v>130350,</v>
      </c>
      <c r="D23" s="18" t="s">
        <v>203</v>
      </c>
      <c r="E23" s="19" t="s">
        <v>204</v>
      </c>
      <c r="F23" s="20" t="s">
        <v>174</v>
      </c>
      <c r="G23" s="17" t="s">
        <v>152</v>
      </c>
    </row>
    <row r="24" spans="1:7">
      <c r="A24" s="16">
        <v>134407</v>
      </c>
      <c r="B24" s="17" t="s">
        <v>168</v>
      </c>
      <c r="C24" s="17" t="str">
        <f t="shared" si="0"/>
        <v>134407,</v>
      </c>
      <c r="D24" s="18" t="s">
        <v>205</v>
      </c>
      <c r="E24" s="19" t="s">
        <v>206</v>
      </c>
      <c r="F24" s="20" t="s">
        <v>174</v>
      </c>
      <c r="G24" s="17" t="s">
        <v>152</v>
      </c>
    </row>
    <row r="25" spans="1:7">
      <c r="A25" s="16">
        <v>105230</v>
      </c>
      <c r="B25" s="17" t="s">
        <v>168</v>
      </c>
      <c r="C25" s="17" t="str">
        <f t="shared" si="0"/>
        <v>105230,</v>
      </c>
      <c r="D25" s="18" t="s">
        <v>207</v>
      </c>
      <c r="E25" s="19" t="s">
        <v>208</v>
      </c>
      <c r="F25" s="20" t="s">
        <v>174</v>
      </c>
      <c r="G25" s="17" t="s">
        <v>179</v>
      </c>
    </row>
    <row r="26" spans="1:7">
      <c r="A26" s="16">
        <v>153885</v>
      </c>
      <c r="B26" s="17" t="s">
        <v>168</v>
      </c>
      <c r="C26" s="17" t="str">
        <f t="shared" si="0"/>
        <v>153885,</v>
      </c>
      <c r="D26" s="18" t="s">
        <v>175</v>
      </c>
      <c r="E26" s="19" t="s">
        <v>209</v>
      </c>
      <c r="F26" s="20" t="s">
        <v>174</v>
      </c>
      <c r="G26" s="17" t="s">
        <v>152</v>
      </c>
    </row>
    <row r="27" spans="1:7">
      <c r="A27" s="16">
        <v>177390</v>
      </c>
      <c r="B27" s="17"/>
      <c r="C27" s="17" t="str">
        <f t="shared" si="0"/>
        <v>177390</v>
      </c>
      <c r="D27" s="18" t="s">
        <v>210</v>
      </c>
      <c r="E27" s="19" t="s">
        <v>211</v>
      </c>
      <c r="F27" s="20" t="s">
        <v>174</v>
      </c>
      <c r="G27" s="17" t="s">
        <v>152</v>
      </c>
    </row>
    <row r="28" spans="1:7">
      <c r="A28" s="16"/>
      <c r="B28" s="17"/>
      <c r="C28" s="17"/>
      <c r="D28" s="18"/>
      <c r="E28" s="19"/>
      <c r="F28" s="20"/>
      <c r="G28" s="17"/>
    </row>
  </sheetData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任务明细表</vt:lpstr>
      <vt:lpstr>政策明细表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2018-12-28T09:31:00Z</dcterms:created>
  <dcterms:modified xsi:type="dcterms:W3CDTF">2019-03-28T03:50:43Z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