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575" firstSheet="4" activeTab="4"/>
  </bookViews>
  <sheets>
    <sheet name="政策明细表（原始表）" sheetId="1" state="hidden" r:id="rId1"/>
    <sheet name="任务明细表" sheetId="2" state="hidden" r:id="rId2"/>
    <sheet name="10月" sheetId="5" state="hidden" r:id="rId3"/>
    <sheet name="谭姐2" sheetId="9" state="hidden" r:id="rId4"/>
    <sheet name="任务明细表 （确定版）" sheetId="6" r:id="rId5"/>
    <sheet name="政策明细表 (2)" sheetId="7" r:id="rId6"/>
    <sheet name="1.2yu" sheetId="10" state="hidden" r:id="rId7"/>
    <sheet name="谭姐" sheetId="8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4" hidden="1">'任务明细表 （确定版）'!$A$2:$AJ$104</definedName>
    <definedName name="_xlnm._FilterDatabase" localSheetId="1" hidden="1">任务明细表!$A$2:$AB$103</definedName>
    <definedName name="_xlnm._FilterDatabase" localSheetId="2" hidden="1">'10月'!$A$2:$AA$97</definedName>
  </definedNames>
  <calcPr calcId="144525"/>
</workbook>
</file>

<file path=xl/sharedStrings.xml><?xml version="1.0" encoding="utf-8"?>
<sst xmlns="http://schemas.openxmlformats.org/spreadsheetml/2006/main" count="1774" uniqueCount="330">
  <si>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</si>
  <si>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</si>
  <si>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</si>
  <si>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</si>
  <si>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</si>
  <si>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</si>
  <si>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</si>
  <si>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</si>
  <si>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</si>
  <si>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</si>
  <si>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</si>
  <si>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</si>
  <si>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</si>
  <si>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</si>
  <si>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</si>
  <si>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</si>
  <si>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</si>
  <si>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</si>
  <si>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</si>
  <si>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</si>
  <si>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</si>
  <si>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</si>
  <si>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</si>
  <si>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</si>
  <si>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</si>
  <si>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</si>
  <si>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</si>
  <si>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</si>
  <si>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</si>
  <si>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</si>
  <si>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</si>
  <si>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</si>
  <si>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</si>
  <si>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</si>
  <si>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</si>
  <si>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</si>
  <si>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</si>
  <si>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</si>
  <si>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</si>
  <si>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</si>
  <si>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</si>
  <si>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</si>
  <si>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</si>
  <si>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</si>
  <si>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</si>
  <si>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</si>
  <si>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</si>
  <si>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</si>
  <si>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</si>
  <si>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</si>
  <si>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</si>
  <si>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</si>
  <si>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</si>
  <si>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</si>
  <si>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</si>
  <si>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</si>
  <si>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</si>
  <si>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</si>
  <si>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</si>
  <si>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</si>
  <si>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</si>
  <si>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</si>
  <si>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</si>
  <si>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</si>
  <si>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</si>
  <si>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</si>
  <si>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</si>
  <si>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</si>
  <si>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</si>
  <si>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</si>
  <si>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</si>
  <si>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</si>
  <si>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</si>
  <si>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</si>
  <si>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</si>
  <si>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</si>
  <si>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</si>
  <si>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</si>
  <si>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</si>
  <si>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</si>
  <si>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</si>
  <si>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</si>
  <si>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</si>
  <si>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</si>
  <si>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</si>
  <si>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</si>
  <si>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</si>
  <si>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</si>
  <si>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</si>
  <si>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</si>
  <si>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</si>
  <si>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</si>
  <si>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</si>
  <si>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</si>
  <si>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</si>
  <si>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</si>
  <si>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</si>
  <si>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</si>
  <si>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</si>
  <si>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</si>
  <si>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</si>
  <si>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</si>
  <si>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</si>
  <si>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</si>
  <si>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</si>
  <si>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</si>
  <si>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</si>
  <si>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</si>
  <si>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</si>
  <si>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</si>
  <si>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</si>
  <si>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</si>
  <si>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</si>
  <si>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</si>
  <si>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</si>
  <si>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</si>
  <si>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</si>
  <si>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</si>
  <si>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</si>
  <si>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</si>
  <si>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</si>
  <si>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</si>
  <si>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</si>
  <si>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</si>
  <si>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</si>
  <si>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</si>
  <si>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</si>
  <si>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</si>
  <si>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</si>
  <si>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</si>
  <si>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</si>
  <si>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</si>
  <si>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</si>
  <si>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</si>
  <si>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</si>
  <si>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</si>
  <si>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</si>
  <si>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</si>
  <si>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</si>
  <si>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</si>
  <si>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</si>
  <si>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</si>
  <si>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</si>
  <si>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</si>
  <si>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</si>
  <si>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</si>
  <si>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</si>
  <si>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</si>
  <si>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</si>
  <si>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</si>
  <si>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</si>
  <si>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</si>
  <si>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</si>
  <si>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</si>
  <si>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</si>
  <si>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</si>
  <si>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</si>
  <si>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</si>
  <si>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</si>
  <si>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</si>
  <si>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</si>
  <si>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</si>
  <si>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</si>
  <si>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</si>
  <si>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</si>
  <si>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</si>
  <si>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</si>
  <si>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</si>
  <si>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</si>
  <si>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</si>
  <si>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</si>
  <si>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</si>
  <si>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</si>
  <si>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</si>
  <si>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</si>
  <si>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</si>
  <si>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</si>
  <si>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</si>
  <si>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</si>
  <si>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</si>
  <si>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</si>
  <si>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</si>
  <si>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</si>
  <si>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</si>
  <si>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</si>
  <si>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</si>
  <si>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</si>
  <si>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</si>
  <si>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</si>
  <si>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</si>
  <si>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</si>
  <si>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</si>
  <si>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</si>
  <si>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</si>
  <si>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</si>
  <si>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</si>
  <si>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</si>
  <si>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</si>
  <si>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</si>
  <si>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</si>
  <si>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</si>
  <si>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</si>
  <si>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</si>
  <si>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</si>
  <si>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</si>
  <si>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</si>
  <si>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</si>
  <si>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</si>
  <si>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</si>
  <si>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</si>
  <si>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</si>
  <si>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</si>
  <si>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</si>
  <si>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</si>
  <si>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</si>
  <si>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3月重点品种</t>
  </si>
  <si>
    <t>天胶</t>
  </si>
  <si>
    <t>太极天胶</t>
  </si>
  <si>
    <t>250g</t>
  </si>
  <si>
    <t>太极集团甘肃天水羲皇阿胶有限公司</t>
  </si>
  <si>
    <t>藏药系列</t>
  </si>
  <si>
    <t>西藏藏医学院</t>
  </si>
  <si>
    <t>女性用品系列</t>
  </si>
  <si>
    <t>定坤丹</t>
  </si>
  <si>
    <t>7gx4瓶（水蜜丸）</t>
  </si>
  <si>
    <t>山西广誉远国药</t>
  </si>
  <si>
    <t>龟龄集</t>
  </si>
  <si>
    <t>0.3g*30粒</t>
  </si>
  <si>
    <t>屈螺酮炔雌醇片</t>
  </si>
  <si>
    <t>21片(薄膜衣)</t>
  </si>
  <si>
    <t>拜耳医药保健有限公司广州分公司</t>
  </si>
  <si>
    <t>肝病系列</t>
  </si>
  <si>
    <t>多烯磷脂酰胆碱胶囊(易善复)</t>
  </si>
  <si>
    <t>228mgx36粒</t>
  </si>
  <si>
    <t>赛诺菲安万特(北京)制药有限公司</t>
  </si>
  <si>
    <t>减肥系列</t>
  </si>
  <si>
    <t>奥利司他胶囊</t>
  </si>
  <si>
    <t>60mgx24粒</t>
  </si>
  <si>
    <t>山东新时代药业有限公司</t>
  </si>
  <si>
    <t>胃肠道系列</t>
  </si>
  <si>
    <t>藿香正气口服液</t>
  </si>
  <si>
    <t>5支</t>
  </si>
  <si>
    <t>涪陵</t>
  </si>
  <si>
    <t>10支</t>
  </si>
  <si>
    <t>肠炎宁片</t>
  </si>
  <si>
    <t>0.42gx60片（薄膜衣）</t>
  </si>
  <si>
    <t>江西天施康弋阳制药有限公司</t>
  </si>
  <si>
    <t>0.42gx12片x3板(薄膜衣)</t>
  </si>
  <si>
    <t>沉香化气片</t>
  </si>
  <si>
    <t>0.5gx12片x2板</t>
  </si>
  <si>
    <t>太极集团重庆桐君阁药厂有限公司</t>
  </si>
  <si>
    <t>36粒</t>
  </si>
  <si>
    <t>石家庄以岭药业股份有限公司</t>
  </si>
  <si>
    <t>24粒</t>
  </si>
  <si>
    <t>补钙系列</t>
  </si>
  <si>
    <t>赖氨酸磷酸氢钙片</t>
  </si>
  <si>
    <t>12片x5板</t>
  </si>
  <si>
    <t>广西嘉进药业有限公司</t>
  </si>
  <si>
    <t>葡萄糖酸钙锌口服溶液</t>
  </si>
  <si>
    <t>10mlx24支</t>
  </si>
  <si>
    <t>澳诺(中国)制药有限公司</t>
  </si>
  <si>
    <t>48支</t>
  </si>
  <si>
    <t>董事长：</t>
  </si>
  <si>
    <t>总经理：</t>
  </si>
  <si>
    <t>营运部：</t>
  </si>
  <si>
    <t>制表人：刘美玲</t>
  </si>
  <si>
    <t>2019年重点品种2月门店任务指标</t>
  </si>
  <si>
    <t>实际销售</t>
  </si>
  <si>
    <t>完成情况</t>
  </si>
  <si>
    <t>完成档次</t>
  </si>
  <si>
    <t>奖励</t>
  </si>
  <si>
    <t>销售金额</t>
  </si>
  <si>
    <t>合计奖励</t>
  </si>
  <si>
    <t>合计处罚</t>
  </si>
  <si>
    <t>未完成</t>
  </si>
  <si>
    <t>蜀汉路</t>
  </si>
  <si>
    <t>航中街</t>
  </si>
  <si>
    <t xml:space="preserve">永康东路药店 </t>
  </si>
  <si>
    <t>2019年2月重点品种政策明细表（三）</t>
  </si>
  <si>
    <t>品种明细</t>
  </si>
  <si>
    <t>任务标准（1.26-2.25）</t>
  </si>
  <si>
    <t>处罚标准</t>
  </si>
  <si>
    <t>任务参考数据来源</t>
  </si>
  <si>
    <t>挑战档提成</t>
  </si>
  <si>
    <t>保底提成</t>
  </si>
  <si>
    <t>,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</si>
  <si>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</si>
  <si>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</si>
  <si>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</si>
  <si>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</si>
  <si>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</si>
  <si>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</si>
  <si>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</si>
  <si>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</si>
  <si>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</si>
  <si>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完成基础档盒数不处罚，未完成基础档，差额部分按8元/盒处罚</t>
  </si>
  <si>
    <t>未完成基础档按差额部分4%进行处罚</t>
  </si>
  <si>
    <t xml:space="preserve">2yue </t>
  </si>
  <si>
    <t>1月</t>
  </si>
  <si>
    <t>2月份下任务品种</t>
  </si>
  <si>
    <t>销售盒数（12.26-1.25）/盒</t>
  </si>
  <si>
    <t>销售金额（12.26-1.25）/万</t>
  </si>
  <si>
    <t>广誉远</t>
  </si>
  <si>
    <t>来益系列</t>
  </si>
  <si>
    <t xml:space="preserve">来益牌叶黄素咀嚼片 </t>
  </si>
  <si>
    <t>450mg*30片</t>
  </si>
  <si>
    <t>浙江医药新昌</t>
  </si>
  <si>
    <t>来益牌天然维生素E软胶囊</t>
  </si>
  <si>
    <t>0.25gx160粒</t>
  </si>
  <si>
    <t>浙江医药股份</t>
  </si>
  <si>
    <r>
      <rPr>
        <sz val="10"/>
        <rFont val="宋体"/>
        <charset val="134"/>
      </rPr>
      <t>来益牌叶黄素咀嚼片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</si>
  <si>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450mgx30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</si>
  <si>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浙江医药股份有限公司新昌制药厂</t>
  </si>
  <si>
    <t>牛初乳咀嚼片</t>
  </si>
  <si>
    <r>
      <rPr>
        <sz val="10"/>
        <rFont val="Arial"/>
        <charset val="134"/>
      </rPr>
      <t>60g(1g×60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</si>
  <si>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江苏艾兰得营养品有限公司</t>
  </si>
  <si>
    <t>工零会品种</t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</si>
  <si>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</si>
  <si>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</si>
  <si>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成都新希臣药业有限责任公司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原：成都希臣药业</t>
    </r>
    <r>
      <rPr>
        <sz val="10"/>
        <rFont val="Arial"/>
        <charset val="0"/>
      </rPr>
      <t>)</t>
    </r>
  </si>
  <si>
    <t>苦金片</t>
  </si>
  <si>
    <t>12s</t>
  </si>
  <si>
    <t>青岛国风</t>
  </si>
  <si>
    <t>康复新液</t>
  </si>
  <si>
    <t>50mlx2瓶</t>
  </si>
  <si>
    <t>四川好医生攀西药业有限责任公司</t>
  </si>
  <si>
    <t>复方嗜酸乳杆菌片</t>
  </si>
  <si>
    <t>0.5gx12片</t>
  </si>
  <si>
    <t>通化金马药业</t>
  </si>
  <si>
    <t>0.5g*6片*5板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</si>
</sst>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_ "/>
  </numFmts>
  <fonts count="5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0"/>
    </font>
    <font>
      <sz val="10"/>
      <name val="宋体"/>
      <charset val="134"/>
      <scheme val="major"/>
    </font>
    <font>
      <sz val="10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name val="Arial"/>
      <charset val="0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4" fillId="3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1" borderId="12" applyNumberFormat="0" applyAlignment="0" applyProtection="0">
      <alignment vertical="center"/>
    </xf>
    <xf numFmtId="0" fontId="57" fillId="21" borderId="16" applyNumberFormat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 wrapText="1"/>
    </xf>
    <xf numFmtId="9" fontId="6" fillId="6" borderId="4" xfId="1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9" fontId="6" fillId="0" borderId="4" xfId="11" applyFont="1" applyFill="1" applyBorder="1" applyAlignment="1">
      <alignment horizontal="center" vertical="center"/>
    </xf>
    <xf numFmtId="9" fontId="6" fillId="0" borderId="4" xfId="11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9" fontId="6" fillId="0" borderId="6" xfId="0" applyNumberFormat="1" applyFont="1" applyFill="1" applyBorder="1" applyAlignment="1" applyProtection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9" fontId="6" fillId="6" borderId="4" xfId="11" applyNumberFormat="1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 applyProtection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9" fontId="6" fillId="6" borderId="4" xfId="11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6" fillId="0" borderId="4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4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7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15" fillId="8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left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0" fillId="9" borderId="4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4" xfId="0" applyFont="1" applyBorder="1">
      <alignment vertical="center"/>
    </xf>
    <xf numFmtId="0" fontId="26" fillId="0" borderId="4" xfId="0" applyFont="1" applyFill="1" applyBorder="1" applyAlignment="1">
      <alignment horizontal="left"/>
    </xf>
    <xf numFmtId="0" fontId="28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9" fontId="32" fillId="0" borderId="4" xfId="11" applyFont="1" applyBorder="1" applyAlignment="1">
      <alignment horizontal="center" vertical="center"/>
    </xf>
    <xf numFmtId="9" fontId="32" fillId="0" borderId="4" xfId="11" applyFont="1" applyBorder="1" applyAlignment="1">
      <alignment horizontal="center" vertical="center" wrapText="1"/>
    </xf>
    <xf numFmtId="9" fontId="22" fillId="0" borderId="4" xfId="0" applyNumberFormat="1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/>
    </xf>
    <xf numFmtId="9" fontId="1" fillId="0" borderId="4" xfId="11" applyFont="1" applyBorder="1" applyAlignment="1">
      <alignment horizontal="center" vertical="center"/>
    </xf>
    <xf numFmtId="9" fontId="1" fillId="0" borderId="4" xfId="11" applyFont="1" applyBorder="1" applyAlignment="1">
      <alignment horizontal="center" vertical="center" wrapText="1"/>
    </xf>
    <xf numFmtId="9" fontId="10" fillId="0" borderId="4" xfId="1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9" fontId="10" fillId="0" borderId="4" xfId="11" applyNumberFormat="1" applyFont="1" applyFill="1" applyBorder="1" applyAlignment="1">
      <alignment horizontal="center" vertical="center"/>
    </xf>
    <xf numFmtId="0" fontId="1" fillId="6" borderId="4" xfId="11" applyNumberFormat="1" applyFont="1" applyFill="1" applyBorder="1" applyAlignment="1" applyProtection="1">
      <alignment horizontal="center" vertical="center"/>
    </xf>
    <xf numFmtId="9" fontId="10" fillId="0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/>
    </xf>
    <xf numFmtId="9" fontId="10" fillId="0" borderId="4" xfId="11" applyNumberFormat="1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&#26376;&#37325;&#28857;&#29255;&#21697;&#31181;&#65288;&#19977;&#65289;&#38144;&#21806;&#35885;&#38054;&#2599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补肾销售金额</v>
          </cell>
          <cell r="G1" t="str">
            <v>数量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丹参+通脉销售金额</v>
          </cell>
          <cell r="L1" t="str">
            <v>数量</v>
          </cell>
          <cell r="M1" t="str">
            <v>MAX(DECODE(BB.DOCID,40,BB.DOCN</v>
          </cell>
          <cell r="N1" t="str">
            <v>MAX(AA.DOCID3_RW)</v>
          </cell>
          <cell r="O1" t="str">
            <v>MAX(AA.TZ_DOCID3)</v>
          </cell>
          <cell r="P1" t="str">
            <v>氨糖销售金额</v>
          </cell>
          <cell r="Q1" t="str">
            <v>数量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1608.02</v>
          </cell>
          <cell r="G2">
            <v>29</v>
          </cell>
          <cell r="H2" t="str">
            <v>丹参+通脉</v>
          </cell>
          <cell r="I2">
            <v>35</v>
          </cell>
          <cell r="J2">
            <v>40</v>
          </cell>
          <cell r="K2">
            <v>309.7</v>
          </cell>
          <cell r="L2">
            <v>9</v>
          </cell>
          <cell r="M2" t="str">
            <v>氨糖软骨素维生素D钙片</v>
          </cell>
          <cell r="N2">
            <v>36</v>
          </cell>
          <cell r="O2">
            <v>41</v>
          </cell>
          <cell r="P2">
            <v>4027.82</v>
          </cell>
          <cell r="Q2">
            <v>19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10083.51</v>
          </cell>
          <cell r="G3">
            <v>147</v>
          </cell>
          <cell r="H3" t="str">
            <v>丹参+通脉</v>
          </cell>
          <cell r="I3">
            <v>33</v>
          </cell>
          <cell r="J3">
            <v>38</v>
          </cell>
          <cell r="K3">
            <v>284.11</v>
          </cell>
          <cell r="L3">
            <v>10</v>
          </cell>
          <cell r="M3" t="str">
            <v>氨糖软骨素维生素D钙片</v>
          </cell>
          <cell r="N3">
            <v>63</v>
          </cell>
          <cell r="O3">
            <v>73</v>
          </cell>
          <cell r="P3">
            <v>3370.93</v>
          </cell>
          <cell r="Q3">
            <v>12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5455.63</v>
          </cell>
          <cell r="G4">
            <v>76</v>
          </cell>
          <cell r="H4" t="str">
            <v>丹参+通脉</v>
          </cell>
          <cell r="I4">
            <v>36</v>
          </cell>
          <cell r="J4">
            <v>41</v>
          </cell>
          <cell r="K4">
            <v>38</v>
          </cell>
          <cell r="L4">
            <v>1</v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4534.04</v>
          </cell>
          <cell r="Q4">
            <v>27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24857.32</v>
          </cell>
          <cell r="G5">
            <v>375</v>
          </cell>
          <cell r="H5" t="str">
            <v>丹参+通脉</v>
          </cell>
          <cell r="I5">
            <v>210</v>
          </cell>
          <cell r="J5">
            <v>216</v>
          </cell>
          <cell r="K5">
            <v>2985.2</v>
          </cell>
          <cell r="L5">
            <v>92</v>
          </cell>
          <cell r="M5" t="str">
            <v>氨糖软骨素维生素D钙片</v>
          </cell>
          <cell r="N5">
            <v>227</v>
          </cell>
          <cell r="O5">
            <v>241</v>
          </cell>
          <cell r="P5">
            <v>43890</v>
          </cell>
          <cell r="Q5">
            <v>174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3300.5</v>
          </cell>
          <cell r="G6">
            <v>60</v>
          </cell>
          <cell r="H6" t="str">
            <v>丹参+通脉</v>
          </cell>
          <cell r="I6">
            <v>28</v>
          </cell>
          <cell r="J6">
            <v>33</v>
          </cell>
          <cell r="K6">
            <v>758.1</v>
          </cell>
          <cell r="L6">
            <v>23</v>
          </cell>
          <cell r="M6" t="str">
            <v>氨糖软骨素维生素D钙片</v>
          </cell>
          <cell r="N6">
            <v>31</v>
          </cell>
          <cell r="O6">
            <v>35</v>
          </cell>
          <cell r="P6">
            <v>6119.64</v>
          </cell>
          <cell r="Q6">
            <v>23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5339</v>
          </cell>
          <cell r="G7">
            <v>100</v>
          </cell>
          <cell r="H7" t="str">
            <v>丹参+通脉</v>
          </cell>
          <cell r="I7">
            <v>15</v>
          </cell>
          <cell r="J7">
            <v>17</v>
          </cell>
          <cell r="K7">
            <v>828</v>
          </cell>
          <cell r="L7">
            <v>37</v>
          </cell>
          <cell r="M7" t="str">
            <v>氨糖软骨素维生素D钙片</v>
          </cell>
          <cell r="N7">
            <v>6</v>
          </cell>
          <cell r="O7">
            <v>3</v>
          </cell>
          <cell r="P7">
            <v>2661.16</v>
          </cell>
          <cell r="Q7">
            <v>10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1379</v>
          </cell>
          <cell r="G8">
            <v>20</v>
          </cell>
          <cell r="H8" t="str">
            <v>丹参+通脉</v>
          </cell>
          <cell r="I8">
            <v>18</v>
          </cell>
          <cell r="J8">
            <v>20</v>
          </cell>
          <cell r="K8">
            <v>458.8</v>
          </cell>
          <cell r="L8">
            <v>14</v>
          </cell>
          <cell r="M8" t="str">
            <v>氨糖软骨素维生素D钙片</v>
          </cell>
          <cell r="N8">
            <v>37</v>
          </cell>
          <cell r="O8">
            <v>42</v>
          </cell>
          <cell r="P8">
            <v>7362.04</v>
          </cell>
          <cell r="Q8">
            <v>29</v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9976</v>
          </cell>
          <cell r="G9">
            <v>136</v>
          </cell>
          <cell r="H9" t="str">
            <v>丹参+通脉</v>
          </cell>
          <cell r="I9" t="str">
            <v/>
          </cell>
          <cell r="J9" t="str">
            <v/>
          </cell>
          <cell r="K9">
            <v>894.91</v>
          </cell>
          <cell r="L9">
            <v>26</v>
          </cell>
          <cell r="M9" t="str">
            <v>氨糖软骨素维生素D钙片</v>
          </cell>
          <cell r="N9" t="str">
            <v/>
          </cell>
          <cell r="O9" t="str">
            <v/>
          </cell>
          <cell r="P9">
            <v>3580</v>
          </cell>
          <cell r="Q9">
            <v>13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4647.06</v>
          </cell>
          <cell r="G10">
            <v>78</v>
          </cell>
          <cell r="H10" t="str">
            <v/>
          </cell>
          <cell r="I10">
            <v>12</v>
          </cell>
          <cell r="J10">
            <v>13</v>
          </cell>
          <cell r="K10" t="str">
            <v/>
          </cell>
          <cell r="L10" t="str">
            <v/>
          </cell>
          <cell r="M10" t="str">
            <v>氨糖软骨素维生素D钙片</v>
          </cell>
          <cell r="N10">
            <v>29</v>
          </cell>
          <cell r="O10">
            <v>32</v>
          </cell>
          <cell r="P10">
            <v>1946.52</v>
          </cell>
          <cell r="Q10">
            <v>7</v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12758.13</v>
          </cell>
          <cell r="G11">
            <v>182</v>
          </cell>
          <cell r="H11" t="str">
            <v>丹参+通脉</v>
          </cell>
          <cell r="I11">
            <v>45</v>
          </cell>
          <cell r="J11">
            <v>52</v>
          </cell>
          <cell r="K11">
            <v>315.7</v>
          </cell>
          <cell r="L11">
            <v>11</v>
          </cell>
          <cell r="M11" t="str">
            <v>氨糖软骨素维生素D钙片</v>
          </cell>
          <cell r="N11">
            <v>48</v>
          </cell>
          <cell r="O11">
            <v>55</v>
          </cell>
          <cell r="P11">
            <v>8065.28</v>
          </cell>
          <cell r="Q11">
            <v>30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4590</v>
          </cell>
          <cell r="G12">
            <v>79</v>
          </cell>
          <cell r="H12" t="str">
            <v>丹参+通脉</v>
          </cell>
          <cell r="I12">
            <v>45</v>
          </cell>
          <cell r="J12">
            <v>52</v>
          </cell>
          <cell r="K12">
            <v>1037.4</v>
          </cell>
          <cell r="L12">
            <v>32</v>
          </cell>
          <cell r="M12" t="str">
            <v>氨糖软骨素维生素D钙片</v>
          </cell>
          <cell r="N12">
            <v>178</v>
          </cell>
          <cell r="O12">
            <v>195</v>
          </cell>
          <cell r="P12">
            <v>1262</v>
          </cell>
          <cell r="Q12">
            <v>5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1055</v>
          </cell>
          <cell r="G13">
            <v>21</v>
          </cell>
          <cell r="H13" t="str">
            <v/>
          </cell>
          <cell r="I13">
            <v>15</v>
          </cell>
          <cell r="J13">
            <v>17</v>
          </cell>
          <cell r="K13" t="str">
            <v/>
          </cell>
          <cell r="L13" t="str">
            <v/>
          </cell>
          <cell r="M13" t="str">
            <v>氨糖软骨素维生素D钙片</v>
          </cell>
          <cell r="N13">
            <v>55</v>
          </cell>
          <cell r="O13">
            <v>63</v>
          </cell>
          <cell r="P13">
            <v>1750</v>
          </cell>
          <cell r="Q13">
            <v>8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1683.31</v>
          </cell>
          <cell r="G14">
            <v>28</v>
          </cell>
          <cell r="H14" t="str">
            <v>丹参+通脉</v>
          </cell>
          <cell r="I14">
            <v>64</v>
          </cell>
          <cell r="J14">
            <v>73</v>
          </cell>
          <cell r="K14">
            <v>233.7</v>
          </cell>
          <cell r="L14">
            <v>6</v>
          </cell>
          <cell r="M14" t="str">
            <v>氨糖软骨素维生素D钙片</v>
          </cell>
          <cell r="N14">
            <v>47</v>
          </cell>
          <cell r="O14">
            <v>53</v>
          </cell>
          <cell r="P14">
            <v>3757.72</v>
          </cell>
          <cell r="Q14">
            <v>24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5451.99</v>
          </cell>
          <cell r="G15">
            <v>65</v>
          </cell>
          <cell r="H15" t="str">
            <v>丹参+通脉</v>
          </cell>
          <cell r="I15">
            <v>21</v>
          </cell>
          <cell r="J15">
            <v>24</v>
          </cell>
          <cell r="K15">
            <v>630.36</v>
          </cell>
          <cell r="L15">
            <v>18</v>
          </cell>
          <cell r="M15" t="str">
            <v>氨糖软骨素维生素D钙片</v>
          </cell>
          <cell r="N15">
            <v>23</v>
          </cell>
          <cell r="O15">
            <v>24</v>
          </cell>
          <cell r="P15">
            <v>6300.42</v>
          </cell>
          <cell r="Q15">
            <v>24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3147.38</v>
          </cell>
          <cell r="G16">
            <v>59</v>
          </cell>
          <cell r="H16" t="str">
            <v>丹参+通脉</v>
          </cell>
          <cell r="I16">
            <v>42</v>
          </cell>
          <cell r="J16">
            <v>49</v>
          </cell>
          <cell r="K16">
            <v>38</v>
          </cell>
          <cell r="L16">
            <v>1</v>
          </cell>
          <cell r="M16" t="str">
            <v>氨糖软骨素维生素D钙片</v>
          </cell>
          <cell r="N16">
            <v>61</v>
          </cell>
          <cell r="O16">
            <v>71</v>
          </cell>
          <cell r="P16">
            <v>3181.66</v>
          </cell>
          <cell r="Q16">
            <v>12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5177.84</v>
          </cell>
          <cell r="G17">
            <v>77</v>
          </cell>
          <cell r="H17" t="str">
            <v>丹参+通脉</v>
          </cell>
          <cell r="I17">
            <v>25</v>
          </cell>
          <cell r="J17">
            <v>29</v>
          </cell>
          <cell r="K17">
            <v>355.3</v>
          </cell>
          <cell r="L17">
            <v>10</v>
          </cell>
          <cell r="M17" t="str">
            <v>氨糖软骨素维生素D钙片</v>
          </cell>
          <cell r="N17">
            <v>55</v>
          </cell>
          <cell r="O17">
            <v>63</v>
          </cell>
          <cell r="P17">
            <v>4862</v>
          </cell>
          <cell r="Q17">
            <v>20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405</v>
          </cell>
          <cell r="G18">
            <v>12</v>
          </cell>
          <cell r="H18" t="str">
            <v>丹参+通脉</v>
          </cell>
          <cell r="I18">
            <v>40</v>
          </cell>
          <cell r="J18">
            <v>46</v>
          </cell>
          <cell r="K18">
            <v>239.4</v>
          </cell>
          <cell r="L18">
            <v>7</v>
          </cell>
          <cell r="M18" t="str">
            <v>氨糖软骨素维生素D钙片</v>
          </cell>
          <cell r="N18">
            <v>44</v>
          </cell>
          <cell r="O18">
            <v>50</v>
          </cell>
          <cell r="P18">
            <v>3120.02</v>
          </cell>
          <cell r="Q18">
            <v>16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7901.05</v>
          </cell>
          <cell r="G19">
            <v>121</v>
          </cell>
          <cell r="H19" t="str">
            <v>丹参+通脉</v>
          </cell>
          <cell r="I19">
            <v>48</v>
          </cell>
          <cell r="J19">
            <v>56</v>
          </cell>
          <cell r="K19">
            <v>558.6</v>
          </cell>
          <cell r="L19">
            <v>16</v>
          </cell>
          <cell r="M19" t="str">
            <v>氨糖软骨素维生素D钙片</v>
          </cell>
          <cell r="N19">
            <v>65</v>
          </cell>
          <cell r="O19">
            <v>76</v>
          </cell>
          <cell r="P19">
            <v>7963</v>
          </cell>
          <cell r="Q19">
            <v>30</v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2422.5</v>
          </cell>
          <cell r="G20">
            <v>57</v>
          </cell>
          <cell r="H20" t="str">
            <v>丹参+通脉</v>
          </cell>
          <cell r="I20">
            <v>24</v>
          </cell>
          <cell r="J20">
            <v>28</v>
          </cell>
          <cell r="K20">
            <v>389.52</v>
          </cell>
          <cell r="L20">
            <v>12</v>
          </cell>
          <cell r="M20" t="str">
            <v>氨糖软骨素维生素D钙片</v>
          </cell>
          <cell r="N20">
            <v>61</v>
          </cell>
          <cell r="O20">
            <v>71</v>
          </cell>
          <cell r="P20">
            <v>2339.88</v>
          </cell>
          <cell r="Q20">
            <v>11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940.92</v>
          </cell>
          <cell r="G21">
            <v>19</v>
          </cell>
          <cell r="H21" t="str">
            <v/>
          </cell>
          <cell r="I21">
            <v>11</v>
          </cell>
          <cell r="J21">
            <v>12</v>
          </cell>
          <cell r="K21" t="str">
            <v/>
          </cell>
          <cell r="L21" t="str">
            <v/>
          </cell>
          <cell r="M21" t="str">
            <v>氨糖软骨素维生素D钙片</v>
          </cell>
          <cell r="N21">
            <v>24</v>
          </cell>
          <cell r="O21">
            <v>26</v>
          </cell>
          <cell r="P21">
            <v>676</v>
          </cell>
          <cell r="Q21">
            <v>2</v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1890.6</v>
          </cell>
          <cell r="G22">
            <v>24</v>
          </cell>
          <cell r="H22" t="str">
            <v>丹参+通脉</v>
          </cell>
          <cell r="I22">
            <v>42</v>
          </cell>
          <cell r="J22">
            <v>49</v>
          </cell>
          <cell r="K22">
            <v>1478.9</v>
          </cell>
          <cell r="L22">
            <v>44</v>
          </cell>
          <cell r="M22" t="str">
            <v>氨糖软骨素维生素D钙片</v>
          </cell>
          <cell r="N22">
            <v>40</v>
          </cell>
          <cell r="O22">
            <v>46</v>
          </cell>
          <cell r="P22">
            <v>1947.94</v>
          </cell>
          <cell r="Q22">
            <v>9</v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910</v>
          </cell>
          <cell r="G23">
            <v>25</v>
          </cell>
          <cell r="H23" t="str">
            <v>丹参+通脉</v>
          </cell>
          <cell r="I23">
            <v>77</v>
          </cell>
          <cell r="J23">
            <v>84</v>
          </cell>
          <cell r="K23">
            <v>39.9</v>
          </cell>
          <cell r="L23">
            <v>1</v>
          </cell>
          <cell r="M23" t="str">
            <v>氨糖软骨素维生素D钙片</v>
          </cell>
          <cell r="N23">
            <v>80</v>
          </cell>
          <cell r="O23">
            <v>91</v>
          </cell>
          <cell r="P23">
            <v>288</v>
          </cell>
          <cell r="Q23">
            <v>1</v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1688.5</v>
          </cell>
          <cell r="G24">
            <v>27</v>
          </cell>
          <cell r="H24" t="str">
            <v>丹参+通脉</v>
          </cell>
          <cell r="I24">
            <v>30</v>
          </cell>
          <cell r="J24">
            <v>35</v>
          </cell>
          <cell r="K24">
            <v>39.9</v>
          </cell>
          <cell r="L24">
            <v>1</v>
          </cell>
          <cell r="M24" t="str">
            <v>氨糖软骨素维生素D钙片</v>
          </cell>
          <cell r="N24">
            <v>47</v>
          </cell>
          <cell r="O24">
            <v>53</v>
          </cell>
          <cell r="P24">
            <v>3471.73</v>
          </cell>
          <cell r="Q24">
            <v>15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4495.03</v>
          </cell>
          <cell r="G25">
            <v>68</v>
          </cell>
          <cell r="H25" t="str">
            <v>丹参+通脉</v>
          </cell>
          <cell r="I25">
            <v>14</v>
          </cell>
          <cell r="J25">
            <v>15</v>
          </cell>
          <cell r="K25">
            <v>583.3</v>
          </cell>
          <cell r="L25">
            <v>17</v>
          </cell>
          <cell r="M25" t="str">
            <v>氨糖软骨素维生素D钙片</v>
          </cell>
          <cell r="N25">
            <v>36</v>
          </cell>
          <cell r="O25">
            <v>41</v>
          </cell>
          <cell r="P25">
            <v>3251.38</v>
          </cell>
          <cell r="Q25">
            <v>16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2747.79</v>
          </cell>
          <cell r="G26">
            <v>41</v>
          </cell>
          <cell r="H26" t="str">
            <v>丹参+通脉</v>
          </cell>
          <cell r="I26">
            <v>77</v>
          </cell>
          <cell r="J26">
            <v>84</v>
          </cell>
          <cell r="K26">
            <v>199.5</v>
          </cell>
          <cell r="L26">
            <v>6</v>
          </cell>
          <cell r="M26" t="str">
            <v>氨糖软骨素维生素D钙片</v>
          </cell>
          <cell r="N26">
            <v>95</v>
          </cell>
          <cell r="O26">
            <v>109</v>
          </cell>
          <cell r="P26">
            <v>1940</v>
          </cell>
          <cell r="Q26">
            <v>7</v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2304.1</v>
          </cell>
          <cell r="G27">
            <v>35</v>
          </cell>
          <cell r="H27" t="str">
            <v>丹参+通脉</v>
          </cell>
          <cell r="I27">
            <v>65</v>
          </cell>
          <cell r="J27">
            <v>75</v>
          </cell>
          <cell r="K27">
            <v>239.4</v>
          </cell>
          <cell r="L27">
            <v>8</v>
          </cell>
          <cell r="M27" t="str">
            <v>氨糖软骨素维生素D钙片</v>
          </cell>
          <cell r="N27">
            <v>74</v>
          </cell>
          <cell r="O27">
            <v>84</v>
          </cell>
          <cell r="P27">
            <v>4594.04</v>
          </cell>
          <cell r="Q27">
            <v>17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3002.5</v>
          </cell>
          <cell r="G28">
            <v>46</v>
          </cell>
          <cell r="H28" t="str">
            <v>丹参+通脉</v>
          </cell>
          <cell r="I28">
            <v>62</v>
          </cell>
          <cell r="J28">
            <v>71</v>
          </cell>
          <cell r="K28">
            <v>114</v>
          </cell>
          <cell r="L28">
            <v>4</v>
          </cell>
          <cell r="M28" t="str">
            <v>氨糖软骨素维生素D钙片</v>
          </cell>
          <cell r="N28">
            <v>53</v>
          </cell>
          <cell r="O28">
            <v>61</v>
          </cell>
          <cell r="P28">
            <v>3295.88</v>
          </cell>
          <cell r="Q28">
            <v>12</v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1157.61</v>
          </cell>
          <cell r="G29">
            <v>21</v>
          </cell>
          <cell r="H29" t="str">
            <v>丹参+通脉</v>
          </cell>
          <cell r="I29">
            <v>35</v>
          </cell>
          <cell r="J29">
            <v>40</v>
          </cell>
          <cell r="K29">
            <v>39.9</v>
          </cell>
          <cell r="L29">
            <v>1</v>
          </cell>
          <cell r="M29" t="str">
            <v>氨糖软骨素维生素D钙片</v>
          </cell>
          <cell r="N29">
            <v>34</v>
          </cell>
          <cell r="O29">
            <v>38</v>
          </cell>
          <cell r="P29">
            <v>1064.01</v>
          </cell>
          <cell r="Q29">
            <v>4</v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1192.5</v>
          </cell>
          <cell r="G30">
            <v>22</v>
          </cell>
          <cell r="H30" t="str">
            <v>丹参+通脉</v>
          </cell>
          <cell r="I30">
            <v>13</v>
          </cell>
          <cell r="J30">
            <v>14</v>
          </cell>
          <cell r="K30">
            <v>438.9</v>
          </cell>
          <cell r="L30">
            <v>13</v>
          </cell>
          <cell r="M30" t="str">
            <v>氨糖软骨素维生素D钙片</v>
          </cell>
          <cell r="N30">
            <v>78</v>
          </cell>
          <cell r="O30">
            <v>89</v>
          </cell>
          <cell r="P30">
            <v>2162.9</v>
          </cell>
          <cell r="Q30">
            <v>11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2632</v>
          </cell>
          <cell r="G31">
            <v>42</v>
          </cell>
          <cell r="H31" t="str">
            <v/>
          </cell>
          <cell r="I31">
            <v>59</v>
          </cell>
          <cell r="J31">
            <v>67</v>
          </cell>
          <cell r="K31" t="str">
            <v/>
          </cell>
          <cell r="L31" t="str">
            <v/>
          </cell>
          <cell r="M31" t="str">
            <v>氨糖软骨素维生素D钙片</v>
          </cell>
          <cell r="N31">
            <v>132</v>
          </cell>
          <cell r="O31">
            <v>136</v>
          </cell>
          <cell r="P31">
            <v>4349.1</v>
          </cell>
          <cell r="Q31">
            <v>15</v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3669.53</v>
          </cell>
          <cell r="G32">
            <v>87</v>
          </cell>
          <cell r="H32" t="str">
            <v>丹参+通脉</v>
          </cell>
          <cell r="I32">
            <v>75</v>
          </cell>
          <cell r="J32">
            <v>82</v>
          </cell>
          <cell r="K32">
            <v>117.8</v>
          </cell>
          <cell r="L32">
            <v>3</v>
          </cell>
          <cell r="M32" t="str">
            <v>氨糖软骨素维生素D钙片</v>
          </cell>
          <cell r="N32">
            <v>63</v>
          </cell>
          <cell r="O32">
            <v>73</v>
          </cell>
          <cell r="P32">
            <v>3104</v>
          </cell>
          <cell r="Q32">
            <v>12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827</v>
          </cell>
          <cell r="G33">
            <v>15</v>
          </cell>
          <cell r="H33" t="str">
            <v>丹参+通脉</v>
          </cell>
          <cell r="I33">
            <v>53</v>
          </cell>
          <cell r="J33">
            <v>60</v>
          </cell>
          <cell r="K33">
            <v>389.5</v>
          </cell>
          <cell r="L33">
            <v>11</v>
          </cell>
          <cell r="M33" t="str">
            <v>氨糖软骨素维生素D钙片</v>
          </cell>
          <cell r="N33">
            <v>41</v>
          </cell>
          <cell r="O33">
            <v>47</v>
          </cell>
          <cell r="P33">
            <v>4096.94</v>
          </cell>
          <cell r="Q33">
            <v>16</v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1556.3</v>
          </cell>
          <cell r="G34">
            <v>35</v>
          </cell>
          <cell r="H34" t="str">
            <v>丹参+通脉</v>
          </cell>
          <cell r="I34">
            <v>10</v>
          </cell>
          <cell r="J34">
            <v>10</v>
          </cell>
          <cell r="K34">
            <v>257.6</v>
          </cell>
          <cell r="L34">
            <v>8</v>
          </cell>
          <cell r="M34" t="str">
            <v>氨糖软骨素维生素D钙片</v>
          </cell>
          <cell r="N34">
            <v>18</v>
          </cell>
          <cell r="O34">
            <v>18</v>
          </cell>
          <cell r="P34">
            <v>1362</v>
          </cell>
          <cell r="Q34">
            <v>5</v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4745.3</v>
          </cell>
          <cell r="G35">
            <v>78</v>
          </cell>
          <cell r="H35" t="str">
            <v>丹参+通脉</v>
          </cell>
          <cell r="I35">
            <v>41</v>
          </cell>
          <cell r="J35">
            <v>47</v>
          </cell>
          <cell r="K35">
            <v>558.6</v>
          </cell>
          <cell r="L35">
            <v>17</v>
          </cell>
          <cell r="M35" t="str">
            <v>氨糖软骨素维生素D钙片</v>
          </cell>
          <cell r="N35">
            <v>25</v>
          </cell>
          <cell r="O35">
            <v>27</v>
          </cell>
          <cell r="P35">
            <v>1766.53</v>
          </cell>
          <cell r="Q35">
            <v>9</v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3758.6</v>
          </cell>
          <cell r="G36">
            <v>61</v>
          </cell>
          <cell r="H36" t="str">
            <v>丹参+通脉</v>
          </cell>
          <cell r="I36">
            <v>80</v>
          </cell>
          <cell r="J36">
            <v>87</v>
          </cell>
          <cell r="K36">
            <v>195.7</v>
          </cell>
          <cell r="L36">
            <v>5</v>
          </cell>
          <cell r="M36" t="str">
            <v>氨糖软骨素维生素D钙片</v>
          </cell>
          <cell r="N36">
            <v>144</v>
          </cell>
          <cell r="O36">
            <v>148</v>
          </cell>
          <cell r="P36">
            <v>6119.86</v>
          </cell>
          <cell r="Q36">
            <v>28</v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1886</v>
          </cell>
          <cell r="G37">
            <v>29</v>
          </cell>
          <cell r="H37" t="str">
            <v>丹参+通脉</v>
          </cell>
          <cell r="I37">
            <v>23</v>
          </cell>
          <cell r="J37">
            <v>27</v>
          </cell>
          <cell r="K37">
            <v>359.1</v>
          </cell>
          <cell r="L37">
            <v>11</v>
          </cell>
          <cell r="M37" t="str">
            <v>氨糖软骨素维生素D钙片</v>
          </cell>
          <cell r="N37">
            <v>19</v>
          </cell>
          <cell r="O37">
            <v>19</v>
          </cell>
          <cell r="P37">
            <v>2904</v>
          </cell>
          <cell r="Q37">
            <v>11</v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1307.84</v>
          </cell>
          <cell r="G38">
            <v>27</v>
          </cell>
          <cell r="H38" t="str">
            <v>丹参+通脉</v>
          </cell>
          <cell r="I38">
            <v>15</v>
          </cell>
          <cell r="J38">
            <v>17</v>
          </cell>
          <cell r="K38">
            <v>315.4</v>
          </cell>
          <cell r="L38">
            <v>10</v>
          </cell>
          <cell r="M38" t="str">
            <v>氨糖软骨素维生素D钙片</v>
          </cell>
          <cell r="N38">
            <v>45</v>
          </cell>
          <cell r="O38">
            <v>51</v>
          </cell>
          <cell r="P38">
            <v>1841</v>
          </cell>
          <cell r="Q38">
            <v>8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4282.6</v>
          </cell>
          <cell r="G39">
            <v>83</v>
          </cell>
          <cell r="H39" t="str">
            <v>丹参+通脉</v>
          </cell>
          <cell r="I39">
            <v>109</v>
          </cell>
          <cell r="J39">
            <v>116</v>
          </cell>
          <cell r="K39">
            <v>917.7</v>
          </cell>
          <cell r="L39">
            <v>27</v>
          </cell>
          <cell r="M39" t="str">
            <v>氨糖软骨素维生素D钙片</v>
          </cell>
          <cell r="N39">
            <v>181</v>
          </cell>
          <cell r="O39">
            <v>198</v>
          </cell>
          <cell r="P39">
            <v>4539.6</v>
          </cell>
          <cell r="Q39">
            <v>18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3562.25</v>
          </cell>
          <cell r="G40">
            <v>57</v>
          </cell>
          <cell r="H40" t="str">
            <v>丹参+通脉</v>
          </cell>
          <cell r="I40">
            <v>24</v>
          </cell>
          <cell r="J40">
            <v>28</v>
          </cell>
          <cell r="K40">
            <v>157.7</v>
          </cell>
          <cell r="L40">
            <v>4</v>
          </cell>
          <cell r="M40" t="str">
            <v>氨糖软骨素维生素D钙片</v>
          </cell>
          <cell r="N40">
            <v>48</v>
          </cell>
          <cell r="O40">
            <v>55</v>
          </cell>
          <cell r="P40">
            <v>3592.88</v>
          </cell>
          <cell r="Q40">
            <v>14</v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1409.1</v>
          </cell>
          <cell r="G41">
            <v>24</v>
          </cell>
          <cell r="H41" t="str">
            <v>丹参+通脉</v>
          </cell>
          <cell r="I41">
            <v>41</v>
          </cell>
          <cell r="J41">
            <v>47</v>
          </cell>
          <cell r="K41">
            <v>79.8</v>
          </cell>
          <cell r="L41">
            <v>2</v>
          </cell>
          <cell r="M41" t="str">
            <v>氨糖软骨素维生素D钙片</v>
          </cell>
          <cell r="N41">
            <v>60</v>
          </cell>
          <cell r="O41">
            <v>69</v>
          </cell>
          <cell r="P41">
            <v>2637.18</v>
          </cell>
          <cell r="Q41">
            <v>11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1662.05</v>
          </cell>
          <cell r="G42">
            <v>26</v>
          </cell>
          <cell r="H42" t="str">
            <v>丹参+通脉</v>
          </cell>
          <cell r="I42">
            <v>48</v>
          </cell>
          <cell r="J42">
            <v>56</v>
          </cell>
          <cell r="K42">
            <v>119.7</v>
          </cell>
          <cell r="L42">
            <v>4</v>
          </cell>
          <cell r="M42" t="str">
            <v>氨糖软骨素维生素D钙片</v>
          </cell>
          <cell r="N42">
            <v>69</v>
          </cell>
          <cell r="O42">
            <v>81</v>
          </cell>
          <cell r="P42">
            <v>1858.52</v>
          </cell>
          <cell r="Q42">
            <v>7</v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2878.05</v>
          </cell>
          <cell r="G43">
            <v>38</v>
          </cell>
          <cell r="H43" t="str">
            <v>丹参+通脉</v>
          </cell>
          <cell r="I43">
            <v>109</v>
          </cell>
          <cell r="J43">
            <v>116</v>
          </cell>
          <cell r="K43">
            <v>39.9</v>
          </cell>
          <cell r="L43">
            <v>1</v>
          </cell>
          <cell r="M43" t="str">
            <v>氨糖软骨素维生素D钙片</v>
          </cell>
          <cell r="N43">
            <v>65</v>
          </cell>
          <cell r="O43">
            <v>76</v>
          </cell>
          <cell r="P43">
            <v>3804.52</v>
          </cell>
          <cell r="Q43">
            <v>17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7575.61</v>
          </cell>
          <cell r="G44">
            <v>99</v>
          </cell>
          <cell r="H44" t="str">
            <v>丹参+通脉</v>
          </cell>
          <cell r="I44">
            <v>27</v>
          </cell>
          <cell r="J44">
            <v>32</v>
          </cell>
          <cell r="K44">
            <v>717.93</v>
          </cell>
          <cell r="L44">
            <v>22</v>
          </cell>
          <cell r="M44" t="str">
            <v>氨糖软骨素维生素D钙片</v>
          </cell>
          <cell r="N44">
            <v>41</v>
          </cell>
          <cell r="O44">
            <v>47</v>
          </cell>
          <cell r="P44">
            <v>15165.72</v>
          </cell>
          <cell r="Q44">
            <v>58</v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2937.25</v>
          </cell>
          <cell r="G45">
            <v>43</v>
          </cell>
          <cell r="H45" t="str">
            <v>丹参+通脉</v>
          </cell>
          <cell r="I45">
            <v>11</v>
          </cell>
          <cell r="J45">
            <v>12</v>
          </cell>
          <cell r="K45">
            <v>199.5</v>
          </cell>
          <cell r="L45">
            <v>5</v>
          </cell>
          <cell r="M45" t="str">
            <v>氨糖软骨素维生素D钙片</v>
          </cell>
          <cell r="N45">
            <v>39</v>
          </cell>
          <cell r="O45">
            <v>45</v>
          </cell>
          <cell r="P45">
            <v>1475.68</v>
          </cell>
          <cell r="Q45">
            <v>8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5231.44</v>
          </cell>
          <cell r="G46">
            <v>96</v>
          </cell>
          <cell r="H46" t="str">
            <v>丹参+通脉</v>
          </cell>
          <cell r="I46">
            <v>55</v>
          </cell>
          <cell r="J46">
            <v>63</v>
          </cell>
          <cell r="K46">
            <v>769.09</v>
          </cell>
          <cell r="L46">
            <v>23</v>
          </cell>
          <cell r="M46" t="str">
            <v>氨糖软骨素维生素D钙片</v>
          </cell>
          <cell r="N46">
            <v>55</v>
          </cell>
          <cell r="O46">
            <v>63</v>
          </cell>
          <cell r="P46">
            <v>8190.68</v>
          </cell>
          <cell r="Q46">
            <v>33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2956.42</v>
          </cell>
          <cell r="G47">
            <v>43</v>
          </cell>
          <cell r="H47" t="str">
            <v/>
          </cell>
          <cell r="I47">
            <v>35</v>
          </cell>
          <cell r="J47">
            <v>40</v>
          </cell>
          <cell r="K47" t="str">
            <v/>
          </cell>
          <cell r="L47" t="str">
            <v/>
          </cell>
          <cell r="M47" t="str">
            <v>氨糖软骨素维生素D钙片</v>
          </cell>
          <cell r="N47">
            <v>47</v>
          </cell>
          <cell r="O47">
            <v>53</v>
          </cell>
          <cell r="P47">
            <v>3115.64</v>
          </cell>
          <cell r="Q47">
            <v>12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3358.44</v>
          </cell>
          <cell r="G48">
            <v>47</v>
          </cell>
          <cell r="H48" t="str">
            <v>丹参+通脉</v>
          </cell>
          <cell r="I48">
            <v>65</v>
          </cell>
          <cell r="J48">
            <v>75</v>
          </cell>
          <cell r="K48">
            <v>227.91</v>
          </cell>
          <cell r="L48">
            <v>7</v>
          </cell>
          <cell r="M48" t="str">
            <v>氨糖软骨素维生素D钙片</v>
          </cell>
          <cell r="N48">
            <v>53</v>
          </cell>
          <cell r="O48">
            <v>61</v>
          </cell>
          <cell r="P48">
            <v>1290.59</v>
          </cell>
          <cell r="Q48">
            <v>9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2610.06</v>
          </cell>
          <cell r="G49">
            <v>40</v>
          </cell>
          <cell r="H49" t="str">
            <v>丹参+通脉</v>
          </cell>
          <cell r="I49">
            <v>18</v>
          </cell>
          <cell r="J49">
            <v>20</v>
          </cell>
          <cell r="K49">
            <v>191.14</v>
          </cell>
          <cell r="L49">
            <v>6</v>
          </cell>
          <cell r="M49" t="str">
            <v>氨糖软骨素维生素D钙片</v>
          </cell>
          <cell r="N49">
            <v>18</v>
          </cell>
          <cell r="O49">
            <v>18</v>
          </cell>
          <cell r="P49">
            <v>792</v>
          </cell>
          <cell r="Q49">
            <v>8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1938.66</v>
          </cell>
          <cell r="G50">
            <v>40</v>
          </cell>
          <cell r="H50" t="str">
            <v>丹参+通脉</v>
          </cell>
          <cell r="I50">
            <v>78</v>
          </cell>
          <cell r="J50">
            <v>85</v>
          </cell>
          <cell r="K50">
            <v>431.3</v>
          </cell>
          <cell r="L50">
            <v>14</v>
          </cell>
          <cell r="M50" t="str">
            <v>氨糖软骨素维生素D钙片</v>
          </cell>
          <cell r="N50">
            <v>74</v>
          </cell>
          <cell r="O50">
            <v>84</v>
          </cell>
          <cell r="P50">
            <v>6788.41</v>
          </cell>
          <cell r="Q50">
            <v>25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800.63</v>
          </cell>
          <cell r="G51">
            <v>28</v>
          </cell>
          <cell r="H51" t="str">
            <v>丹参+通脉</v>
          </cell>
          <cell r="I51">
            <v>20</v>
          </cell>
          <cell r="J51">
            <v>23</v>
          </cell>
          <cell r="K51">
            <v>279.3</v>
          </cell>
          <cell r="L51">
            <v>9</v>
          </cell>
          <cell r="M51" t="str">
            <v>氨糖软骨素维生素D钙片</v>
          </cell>
          <cell r="N51">
            <v>31</v>
          </cell>
          <cell r="O51">
            <v>35</v>
          </cell>
          <cell r="P51">
            <v>1542</v>
          </cell>
          <cell r="Q51">
            <v>6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487</v>
          </cell>
          <cell r="G52">
            <v>12</v>
          </cell>
          <cell r="H52" t="str">
            <v/>
          </cell>
          <cell r="I52">
            <v>9</v>
          </cell>
          <cell r="J52">
            <v>9</v>
          </cell>
          <cell r="K52" t="str">
            <v/>
          </cell>
          <cell r="L52" t="str">
            <v/>
          </cell>
          <cell r="M52" t="str">
            <v>氨糖软骨素维生素D钙片</v>
          </cell>
          <cell r="N52">
            <v>29</v>
          </cell>
          <cell r="O52">
            <v>32</v>
          </cell>
          <cell r="P52">
            <v>1952.03</v>
          </cell>
          <cell r="Q52">
            <v>11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1970.5</v>
          </cell>
          <cell r="G53">
            <v>28</v>
          </cell>
          <cell r="H53" t="str">
            <v>丹参+通脉</v>
          </cell>
          <cell r="I53">
            <v>55</v>
          </cell>
          <cell r="J53">
            <v>63</v>
          </cell>
          <cell r="K53">
            <v>38</v>
          </cell>
          <cell r="L53">
            <v>1</v>
          </cell>
          <cell r="M53" t="str">
            <v>氨糖软骨素维生素D钙片</v>
          </cell>
          <cell r="N53">
            <v>90</v>
          </cell>
          <cell r="O53">
            <v>103</v>
          </cell>
          <cell r="P53">
            <v>3156.14</v>
          </cell>
          <cell r="Q53">
            <v>11</v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3187</v>
          </cell>
          <cell r="G54">
            <v>80</v>
          </cell>
          <cell r="H54" t="str">
            <v>丹参+通脉</v>
          </cell>
          <cell r="I54">
            <v>19</v>
          </cell>
          <cell r="J54">
            <v>22</v>
          </cell>
          <cell r="K54">
            <v>720.91</v>
          </cell>
          <cell r="L54">
            <v>21</v>
          </cell>
          <cell r="M54" t="str">
            <v>氨糖软骨素维生素D钙片</v>
          </cell>
          <cell r="N54">
            <v>53</v>
          </cell>
          <cell r="O54">
            <v>61</v>
          </cell>
          <cell r="P54">
            <v>4477.5</v>
          </cell>
          <cell r="Q54">
            <v>21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1666.75</v>
          </cell>
          <cell r="G55">
            <v>43</v>
          </cell>
          <cell r="H55" t="str">
            <v/>
          </cell>
          <cell r="I55">
            <v>14</v>
          </cell>
          <cell r="J55">
            <v>15</v>
          </cell>
          <cell r="K55" t="str">
            <v/>
          </cell>
          <cell r="L55" t="str">
            <v/>
          </cell>
          <cell r="M55" t="str">
            <v>氨糖软骨素维生素D钙片</v>
          </cell>
          <cell r="N55">
            <v>44</v>
          </cell>
          <cell r="O55">
            <v>50</v>
          </cell>
          <cell r="P55">
            <v>2305.77</v>
          </cell>
          <cell r="Q55">
            <v>11</v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5933.92</v>
          </cell>
          <cell r="G56">
            <v>74</v>
          </cell>
          <cell r="H56" t="str">
            <v>丹参+通脉</v>
          </cell>
          <cell r="I56">
            <v>109</v>
          </cell>
          <cell r="J56">
            <v>116</v>
          </cell>
          <cell r="K56">
            <v>1389.19</v>
          </cell>
          <cell r="L56">
            <v>44</v>
          </cell>
          <cell r="M56" t="str">
            <v>氨糖软骨素维生素D钙片</v>
          </cell>
          <cell r="N56">
            <v>79</v>
          </cell>
          <cell r="O56">
            <v>90</v>
          </cell>
          <cell r="P56">
            <v>7182</v>
          </cell>
          <cell r="Q56">
            <v>28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1345.07</v>
          </cell>
          <cell r="G57">
            <v>24</v>
          </cell>
          <cell r="H57" t="str">
            <v>丹参+通脉</v>
          </cell>
          <cell r="I57">
            <v>14</v>
          </cell>
          <cell r="J57">
            <v>15</v>
          </cell>
          <cell r="K57">
            <v>153.9</v>
          </cell>
          <cell r="L57">
            <v>4</v>
          </cell>
          <cell r="M57" t="str">
            <v>氨糖软骨素维生素D钙片</v>
          </cell>
          <cell r="N57">
            <v>20</v>
          </cell>
          <cell r="O57">
            <v>20</v>
          </cell>
          <cell r="P57">
            <v>1158.91</v>
          </cell>
          <cell r="Q57">
            <v>8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3246.5</v>
          </cell>
          <cell r="G58">
            <v>50</v>
          </cell>
          <cell r="H58" t="str">
            <v>丹参+通脉</v>
          </cell>
          <cell r="I58">
            <v>11</v>
          </cell>
          <cell r="J58">
            <v>12</v>
          </cell>
          <cell r="K58">
            <v>712.9</v>
          </cell>
          <cell r="L58">
            <v>21</v>
          </cell>
          <cell r="M58" t="str">
            <v>氨糖软骨素维生素D钙片</v>
          </cell>
          <cell r="N58">
            <v>23</v>
          </cell>
          <cell r="O58">
            <v>24</v>
          </cell>
          <cell r="P58">
            <v>5156.02</v>
          </cell>
          <cell r="Q58">
            <v>26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2149</v>
          </cell>
          <cell r="G59">
            <v>42</v>
          </cell>
          <cell r="H59" t="str">
            <v>丹参+通脉</v>
          </cell>
          <cell r="I59">
            <v>23</v>
          </cell>
          <cell r="J59">
            <v>27</v>
          </cell>
          <cell r="K59">
            <v>119.7</v>
          </cell>
          <cell r="L59">
            <v>4</v>
          </cell>
          <cell r="M59" t="str">
            <v>氨糖软骨素维生素D钙片</v>
          </cell>
          <cell r="N59">
            <v>29</v>
          </cell>
          <cell r="O59">
            <v>32</v>
          </cell>
          <cell r="P59">
            <v>2146</v>
          </cell>
          <cell r="Q59">
            <v>11</v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312</v>
          </cell>
          <cell r="G60">
            <v>12</v>
          </cell>
          <cell r="H60" t="str">
            <v>丹参+通脉</v>
          </cell>
          <cell r="I60">
            <v>12</v>
          </cell>
          <cell r="J60">
            <v>13</v>
          </cell>
          <cell r="K60">
            <v>470.8</v>
          </cell>
          <cell r="L60">
            <v>14</v>
          </cell>
          <cell r="M60" t="str">
            <v>氨糖软骨素维生素D钙片</v>
          </cell>
          <cell r="N60">
            <v>23</v>
          </cell>
          <cell r="O60">
            <v>24</v>
          </cell>
          <cell r="P60">
            <v>2328.57</v>
          </cell>
          <cell r="Q60">
            <v>9</v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1906</v>
          </cell>
          <cell r="G61">
            <v>41</v>
          </cell>
          <cell r="H61" t="str">
            <v>丹参+通脉</v>
          </cell>
          <cell r="I61">
            <v>20</v>
          </cell>
          <cell r="J61">
            <v>23</v>
          </cell>
          <cell r="K61">
            <v>155.8</v>
          </cell>
          <cell r="L61">
            <v>4</v>
          </cell>
          <cell r="M61" t="str">
            <v>氨糖软骨素维生素D钙片</v>
          </cell>
          <cell r="N61">
            <v>8</v>
          </cell>
          <cell r="O61">
            <v>5</v>
          </cell>
          <cell r="P61">
            <v>198.01</v>
          </cell>
          <cell r="Q61">
            <v>2</v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2678.5</v>
          </cell>
          <cell r="G62">
            <v>61</v>
          </cell>
          <cell r="H62" t="str">
            <v/>
          </cell>
          <cell r="I62">
            <v>36</v>
          </cell>
          <cell r="J62">
            <v>41</v>
          </cell>
          <cell r="K62" t="str">
            <v/>
          </cell>
          <cell r="L62" t="str">
            <v/>
          </cell>
          <cell r="M62" t="str">
            <v>氨糖软骨素维生素D钙片</v>
          </cell>
          <cell r="N62">
            <v>44</v>
          </cell>
          <cell r="O62">
            <v>50</v>
          </cell>
          <cell r="P62">
            <v>2635.88</v>
          </cell>
          <cell r="Q62">
            <v>13</v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821</v>
          </cell>
          <cell r="G63">
            <v>17</v>
          </cell>
          <cell r="H63" t="str">
            <v>丹参+通脉</v>
          </cell>
          <cell r="I63">
            <v>25</v>
          </cell>
          <cell r="J63">
            <v>29</v>
          </cell>
          <cell r="K63">
            <v>39.9</v>
          </cell>
          <cell r="L63">
            <v>1</v>
          </cell>
          <cell r="M63" t="str">
            <v>氨糖软骨素维生素D钙片</v>
          </cell>
          <cell r="N63">
            <v>29</v>
          </cell>
          <cell r="O63">
            <v>32</v>
          </cell>
          <cell r="P63">
            <v>576</v>
          </cell>
          <cell r="Q63">
            <v>2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3297.01</v>
          </cell>
          <cell r="G64">
            <v>63</v>
          </cell>
          <cell r="H64" t="str">
            <v>丹参+通脉</v>
          </cell>
          <cell r="I64">
            <v>78</v>
          </cell>
          <cell r="J64">
            <v>85</v>
          </cell>
          <cell r="K64">
            <v>239.4</v>
          </cell>
          <cell r="L64">
            <v>7</v>
          </cell>
          <cell r="M64" t="str">
            <v>氨糖软骨素维生素D钙片</v>
          </cell>
          <cell r="N64">
            <v>50</v>
          </cell>
          <cell r="O64">
            <v>57</v>
          </cell>
          <cell r="P64">
            <v>2128</v>
          </cell>
          <cell r="Q64">
            <v>8</v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3217.72</v>
          </cell>
          <cell r="G65">
            <v>70</v>
          </cell>
          <cell r="H65" t="str">
            <v>丹参+通脉</v>
          </cell>
          <cell r="I65">
            <v>42</v>
          </cell>
          <cell r="J65">
            <v>49</v>
          </cell>
          <cell r="K65">
            <v>438.91</v>
          </cell>
          <cell r="L65">
            <v>13</v>
          </cell>
          <cell r="M65" t="str">
            <v>氨糖软骨素维生素D钙片</v>
          </cell>
          <cell r="N65">
            <v>95</v>
          </cell>
          <cell r="O65">
            <v>109</v>
          </cell>
          <cell r="P65">
            <v>2727.88</v>
          </cell>
          <cell r="Q65">
            <v>13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995.35</v>
          </cell>
          <cell r="G66">
            <v>31</v>
          </cell>
          <cell r="H66" t="str">
            <v/>
          </cell>
          <cell r="I66">
            <v>12</v>
          </cell>
          <cell r="J66">
            <v>13</v>
          </cell>
          <cell r="K66" t="str">
            <v/>
          </cell>
          <cell r="L66" t="str">
            <v/>
          </cell>
          <cell r="M66" t="str">
            <v>氨糖软骨素维生素D钙片</v>
          </cell>
          <cell r="N66">
            <v>32</v>
          </cell>
          <cell r="O66">
            <v>36</v>
          </cell>
          <cell r="P66">
            <v>3398.52</v>
          </cell>
          <cell r="Q66">
            <v>12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10381</v>
          </cell>
          <cell r="G67">
            <v>149</v>
          </cell>
          <cell r="H67" t="str">
            <v>丹参+通脉</v>
          </cell>
          <cell r="I67">
            <v>28</v>
          </cell>
          <cell r="J67">
            <v>33</v>
          </cell>
          <cell r="K67">
            <v>598.5</v>
          </cell>
          <cell r="L67">
            <v>17</v>
          </cell>
          <cell r="M67" t="str">
            <v>氨糖软骨素维生素D钙片</v>
          </cell>
          <cell r="N67">
            <v>43</v>
          </cell>
          <cell r="O67">
            <v>50</v>
          </cell>
          <cell r="P67">
            <v>5837.91</v>
          </cell>
          <cell r="Q67">
            <v>27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2320.57</v>
          </cell>
          <cell r="G68">
            <v>36</v>
          </cell>
          <cell r="H68" t="str">
            <v/>
          </cell>
          <cell r="I68">
            <v>16</v>
          </cell>
          <cell r="J68">
            <v>18</v>
          </cell>
          <cell r="K68" t="str">
            <v/>
          </cell>
          <cell r="L68" t="str">
            <v/>
          </cell>
          <cell r="M68" t="str">
            <v>氨糖软骨素维生素D钙片</v>
          </cell>
          <cell r="N68">
            <v>44</v>
          </cell>
          <cell r="O68">
            <v>50</v>
          </cell>
          <cell r="P68">
            <v>2996.78</v>
          </cell>
          <cell r="Q68">
            <v>11</v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1403</v>
          </cell>
          <cell r="G69">
            <v>21</v>
          </cell>
          <cell r="H69" t="str">
            <v>丹参+通脉</v>
          </cell>
          <cell r="I69">
            <v>7</v>
          </cell>
          <cell r="J69">
            <v>7</v>
          </cell>
          <cell r="K69">
            <v>34.2</v>
          </cell>
          <cell r="L69">
            <v>1</v>
          </cell>
          <cell r="M69" t="str">
            <v>氨糖软骨素维生素D钙片</v>
          </cell>
          <cell r="N69">
            <v>21</v>
          </cell>
          <cell r="O69">
            <v>22</v>
          </cell>
          <cell r="P69">
            <v>288</v>
          </cell>
          <cell r="Q69">
            <v>1</v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2301</v>
          </cell>
          <cell r="G70">
            <v>52</v>
          </cell>
          <cell r="H70" t="str">
            <v>丹参+通脉</v>
          </cell>
          <cell r="I70">
            <v>35</v>
          </cell>
          <cell r="J70">
            <v>40</v>
          </cell>
          <cell r="K70">
            <v>119.7</v>
          </cell>
          <cell r="L70">
            <v>3</v>
          </cell>
          <cell r="M70" t="str">
            <v>氨糖软骨素维生素D钙片</v>
          </cell>
          <cell r="N70">
            <v>76</v>
          </cell>
          <cell r="O70">
            <v>86</v>
          </cell>
          <cell r="P70">
            <v>4406</v>
          </cell>
          <cell r="Q70">
            <v>26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2330.02</v>
          </cell>
          <cell r="G71">
            <v>40</v>
          </cell>
          <cell r="H71" t="str">
            <v>丹参+通脉</v>
          </cell>
          <cell r="I71">
            <v>28</v>
          </cell>
          <cell r="J71">
            <v>33</v>
          </cell>
          <cell r="K71">
            <v>269.33</v>
          </cell>
          <cell r="L71">
            <v>9</v>
          </cell>
          <cell r="M71" t="str">
            <v>氨糖软骨素维生素D钙片</v>
          </cell>
          <cell r="N71">
            <v>48</v>
          </cell>
          <cell r="O71">
            <v>55</v>
          </cell>
          <cell r="P71">
            <v>1435.85</v>
          </cell>
          <cell r="Q71">
            <v>8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1646.5</v>
          </cell>
          <cell r="G72">
            <v>24</v>
          </cell>
          <cell r="H72" t="str">
            <v>丹参+通脉</v>
          </cell>
          <cell r="I72">
            <v>31</v>
          </cell>
          <cell r="J72">
            <v>35</v>
          </cell>
          <cell r="K72">
            <v>193.8</v>
          </cell>
          <cell r="L72">
            <v>5</v>
          </cell>
          <cell r="M72" t="str">
            <v>氨糖软骨素维生素D钙片</v>
          </cell>
          <cell r="N72">
            <v>31</v>
          </cell>
          <cell r="O72">
            <v>35</v>
          </cell>
          <cell r="P72">
            <v>896.64</v>
          </cell>
          <cell r="Q72">
            <v>6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2354.82</v>
          </cell>
          <cell r="G73">
            <v>39</v>
          </cell>
          <cell r="H73" t="str">
            <v>丹参+通脉</v>
          </cell>
          <cell r="I73">
            <v>21</v>
          </cell>
          <cell r="J73">
            <v>23</v>
          </cell>
          <cell r="K73">
            <v>35</v>
          </cell>
          <cell r="L73">
            <v>1</v>
          </cell>
          <cell r="M73" t="str">
            <v>氨糖软骨素维生素D钙片</v>
          </cell>
          <cell r="N73">
            <v>27</v>
          </cell>
          <cell r="O73">
            <v>29</v>
          </cell>
          <cell r="P73">
            <v>396.01</v>
          </cell>
          <cell r="Q73">
            <v>4</v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275.5</v>
          </cell>
          <cell r="G74">
            <v>8</v>
          </cell>
          <cell r="H74" t="str">
            <v>丹参+通脉</v>
          </cell>
          <cell r="I74">
            <v>55</v>
          </cell>
          <cell r="J74">
            <v>63</v>
          </cell>
          <cell r="K74">
            <v>499.51</v>
          </cell>
          <cell r="L74">
            <v>15</v>
          </cell>
          <cell r="M74" t="str">
            <v>氨糖软骨素维生素D钙片</v>
          </cell>
          <cell r="N74">
            <v>30</v>
          </cell>
          <cell r="O74">
            <v>33</v>
          </cell>
          <cell r="P74">
            <v>1728.14</v>
          </cell>
          <cell r="Q74">
            <v>6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1610.23</v>
          </cell>
          <cell r="G75">
            <v>34</v>
          </cell>
          <cell r="H75" t="str">
            <v>丹参+通脉</v>
          </cell>
          <cell r="I75">
            <v>36</v>
          </cell>
          <cell r="J75">
            <v>41</v>
          </cell>
          <cell r="K75">
            <v>649.81</v>
          </cell>
          <cell r="L75">
            <v>20</v>
          </cell>
          <cell r="M75" t="str">
            <v>氨糖软骨素维生素D钙片</v>
          </cell>
          <cell r="N75">
            <v>27</v>
          </cell>
          <cell r="O75">
            <v>29</v>
          </cell>
          <cell r="P75">
            <v>776</v>
          </cell>
          <cell r="Q75">
            <v>3</v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1415.22</v>
          </cell>
          <cell r="G76">
            <v>29</v>
          </cell>
          <cell r="H76" t="str">
            <v>丹参+通脉</v>
          </cell>
          <cell r="I76">
            <v>31</v>
          </cell>
          <cell r="J76">
            <v>35</v>
          </cell>
          <cell r="K76">
            <v>115.9</v>
          </cell>
          <cell r="L76">
            <v>3</v>
          </cell>
          <cell r="M76" t="str">
            <v>氨糖软骨素维生素D钙片</v>
          </cell>
          <cell r="N76">
            <v>50</v>
          </cell>
          <cell r="O76">
            <v>57</v>
          </cell>
          <cell r="P76">
            <v>1114</v>
          </cell>
          <cell r="Q76">
            <v>4</v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387</v>
          </cell>
          <cell r="G77">
            <v>6</v>
          </cell>
          <cell r="H77" t="str">
            <v/>
          </cell>
          <cell r="I77">
            <v>45</v>
          </cell>
          <cell r="J77">
            <v>52</v>
          </cell>
          <cell r="K77" t="str">
            <v/>
          </cell>
          <cell r="L77" t="str">
            <v/>
          </cell>
          <cell r="M77" t="str">
            <v>氨糖软骨素维生素D钙片</v>
          </cell>
          <cell r="N77">
            <v>67</v>
          </cell>
          <cell r="O77">
            <v>78</v>
          </cell>
          <cell r="P77">
            <v>3314.65</v>
          </cell>
          <cell r="Q77">
            <v>13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1870.5</v>
          </cell>
          <cell r="G78">
            <v>35</v>
          </cell>
          <cell r="H78" t="str">
            <v>丹参+通脉</v>
          </cell>
          <cell r="I78">
            <v>15</v>
          </cell>
          <cell r="J78">
            <v>17</v>
          </cell>
          <cell r="K78">
            <v>269.8</v>
          </cell>
          <cell r="L78">
            <v>7</v>
          </cell>
          <cell r="M78" t="str">
            <v>氨糖软骨素维生素D钙片</v>
          </cell>
          <cell r="N78">
            <v>47</v>
          </cell>
          <cell r="O78">
            <v>53</v>
          </cell>
          <cell r="P78">
            <v>2915.89</v>
          </cell>
          <cell r="Q78">
            <v>13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459</v>
          </cell>
          <cell r="G79">
            <v>11</v>
          </cell>
          <cell r="H79" t="str">
            <v>丹参+通脉</v>
          </cell>
          <cell r="I79">
            <v>10</v>
          </cell>
          <cell r="J79">
            <v>10</v>
          </cell>
          <cell r="K79">
            <v>159.6</v>
          </cell>
          <cell r="L79">
            <v>5</v>
          </cell>
          <cell r="M79" t="str">
            <v>氨糖软骨素维生素D钙片</v>
          </cell>
          <cell r="N79">
            <v>27</v>
          </cell>
          <cell r="O79">
            <v>29</v>
          </cell>
          <cell r="P79">
            <v>4174.01</v>
          </cell>
          <cell r="Q79">
            <v>19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402</v>
          </cell>
          <cell r="G80">
            <v>10</v>
          </cell>
          <cell r="H80" t="str">
            <v>丹参+通脉</v>
          </cell>
          <cell r="I80">
            <v>21</v>
          </cell>
          <cell r="J80">
            <v>24</v>
          </cell>
          <cell r="K80">
            <v>579.5</v>
          </cell>
          <cell r="L80">
            <v>18</v>
          </cell>
          <cell r="M80" t="str">
            <v>氨糖软骨素维生素D钙片</v>
          </cell>
          <cell r="N80">
            <v>14</v>
          </cell>
          <cell r="O80">
            <v>13</v>
          </cell>
          <cell r="P80">
            <v>986.64</v>
          </cell>
          <cell r="Q80">
            <v>4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6051.53</v>
          </cell>
          <cell r="G81">
            <v>111</v>
          </cell>
          <cell r="H81" t="str">
            <v>丹参+通脉</v>
          </cell>
          <cell r="I81">
            <v>78</v>
          </cell>
          <cell r="J81">
            <v>85</v>
          </cell>
          <cell r="K81">
            <v>518.7</v>
          </cell>
          <cell r="L81">
            <v>16</v>
          </cell>
          <cell r="M81" t="str">
            <v>氨糖软骨素维生素D钙片</v>
          </cell>
          <cell r="N81">
            <v>84</v>
          </cell>
          <cell r="O81">
            <v>96</v>
          </cell>
          <cell r="P81">
            <v>11346.5</v>
          </cell>
          <cell r="Q81">
            <v>45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304.5</v>
          </cell>
          <cell r="G82">
            <v>9</v>
          </cell>
          <cell r="H82" t="str">
            <v>丹参+通脉</v>
          </cell>
          <cell r="I82">
            <v>9</v>
          </cell>
          <cell r="J82">
            <v>9</v>
          </cell>
          <cell r="K82">
            <v>199.5</v>
          </cell>
          <cell r="L82">
            <v>6</v>
          </cell>
          <cell r="M82" t="str">
            <v>氨糖软骨素维生素D钙片</v>
          </cell>
          <cell r="N82">
            <v>16</v>
          </cell>
          <cell r="O82">
            <v>15</v>
          </cell>
          <cell r="P82">
            <v>388</v>
          </cell>
          <cell r="Q82">
            <v>1</v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102</v>
          </cell>
          <cell r="G83">
            <v>3</v>
          </cell>
          <cell r="H83" t="str">
            <v/>
          </cell>
          <cell r="I83">
            <v>9</v>
          </cell>
          <cell r="J83">
            <v>9</v>
          </cell>
          <cell r="K83" t="str">
            <v/>
          </cell>
          <cell r="L83" t="str">
            <v/>
          </cell>
          <cell r="M83" t="str">
            <v>氨糖软骨素维生素D钙片</v>
          </cell>
          <cell r="N83">
            <v>11</v>
          </cell>
          <cell r="O83">
            <v>9</v>
          </cell>
          <cell r="P83">
            <v>1064</v>
          </cell>
          <cell r="Q83">
            <v>4</v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2360.8</v>
          </cell>
          <cell r="G84">
            <v>30</v>
          </cell>
          <cell r="H84" t="str">
            <v>丹参+通脉</v>
          </cell>
          <cell r="I84">
            <v>9</v>
          </cell>
          <cell r="J84">
            <v>9</v>
          </cell>
          <cell r="K84">
            <v>837.91</v>
          </cell>
          <cell r="L84">
            <v>24</v>
          </cell>
          <cell r="M84" t="str">
            <v>氨糖软骨素维生素D钙片</v>
          </cell>
          <cell r="N84">
            <v>20</v>
          </cell>
          <cell r="O84">
            <v>20</v>
          </cell>
          <cell r="P84">
            <v>198</v>
          </cell>
          <cell r="Q84">
            <v>1</v>
          </cell>
        </row>
        <row r="85">
          <cell r="B85">
            <v>101453</v>
          </cell>
          <cell r="C85" t="str">
            <v>补肾系列</v>
          </cell>
          <cell r="D85">
            <v>6</v>
          </cell>
          <cell r="E85">
            <v>11</v>
          </cell>
          <cell r="F85">
            <v>1376</v>
          </cell>
          <cell r="G85">
            <v>27</v>
          </cell>
          <cell r="H85" t="str">
            <v>丹参+通脉</v>
          </cell>
          <cell r="I85">
            <v>15</v>
          </cell>
          <cell r="J85">
            <v>17</v>
          </cell>
          <cell r="K85">
            <v>190</v>
          </cell>
          <cell r="L85">
            <v>6</v>
          </cell>
          <cell r="M85" t="str">
            <v>氨糖软骨素维生素D钙片</v>
          </cell>
          <cell r="N85">
            <v>29</v>
          </cell>
          <cell r="O85">
            <v>32</v>
          </cell>
          <cell r="P85">
            <v>3893.16</v>
          </cell>
          <cell r="Q85">
            <v>17</v>
          </cell>
        </row>
        <row r="86">
          <cell r="B86">
            <v>102478</v>
          </cell>
          <cell r="C86" t="str">
            <v>补肾系列</v>
          </cell>
          <cell r="D86">
            <v>6</v>
          </cell>
          <cell r="E86">
            <v>9</v>
          </cell>
          <cell r="F86">
            <v>137</v>
          </cell>
          <cell r="G86">
            <v>5</v>
          </cell>
          <cell r="H86" t="str">
            <v/>
          </cell>
          <cell r="I86">
            <v>9</v>
          </cell>
          <cell r="J86">
            <v>9</v>
          </cell>
          <cell r="K86" t="str">
            <v/>
          </cell>
          <cell r="L86" t="str">
            <v/>
          </cell>
          <cell r="M86" t="str">
            <v/>
          </cell>
          <cell r="N86">
            <v>16</v>
          </cell>
          <cell r="O86">
            <v>15</v>
          </cell>
          <cell r="P86" t="str">
            <v/>
          </cell>
          <cell r="Q86" t="str">
            <v/>
          </cell>
        </row>
        <row r="87">
          <cell r="B87">
            <v>102479</v>
          </cell>
          <cell r="C87" t="str">
            <v>补肾系列</v>
          </cell>
          <cell r="D87">
            <v>6</v>
          </cell>
          <cell r="E87">
            <v>11</v>
          </cell>
          <cell r="F87">
            <v>809.06</v>
          </cell>
          <cell r="G87">
            <v>11</v>
          </cell>
          <cell r="H87" t="str">
            <v>丹参+通脉</v>
          </cell>
          <cell r="I87">
            <v>15</v>
          </cell>
          <cell r="J87">
            <v>17</v>
          </cell>
          <cell r="K87">
            <v>119.7</v>
          </cell>
          <cell r="L87">
            <v>4</v>
          </cell>
          <cell r="M87" t="str">
            <v>氨糖软骨素维生素D钙片</v>
          </cell>
          <cell r="N87">
            <v>29</v>
          </cell>
          <cell r="O87">
            <v>32</v>
          </cell>
          <cell r="P87">
            <v>1551.19</v>
          </cell>
          <cell r="Q87">
            <v>6</v>
          </cell>
        </row>
        <row r="88">
          <cell r="B88">
            <v>102564</v>
          </cell>
          <cell r="C88" t="str">
            <v>补肾系列</v>
          </cell>
          <cell r="D88">
            <v>6</v>
          </cell>
          <cell r="E88">
            <v>9</v>
          </cell>
          <cell r="F88">
            <v>539.5</v>
          </cell>
          <cell r="G88">
            <v>15</v>
          </cell>
          <cell r="H88" t="str">
            <v>丹参+通脉</v>
          </cell>
          <cell r="I88">
            <v>9</v>
          </cell>
          <cell r="J88">
            <v>9</v>
          </cell>
          <cell r="K88">
            <v>159.6</v>
          </cell>
          <cell r="L88">
            <v>5</v>
          </cell>
          <cell r="M88" t="str">
            <v>氨糖软骨素维生素D钙片</v>
          </cell>
          <cell r="N88">
            <v>16</v>
          </cell>
          <cell r="O88">
            <v>15</v>
          </cell>
          <cell r="P88">
            <v>725.8</v>
          </cell>
          <cell r="Q88">
            <v>4</v>
          </cell>
        </row>
        <row r="89">
          <cell r="B89">
            <v>102565</v>
          </cell>
          <cell r="C89" t="str">
            <v>补肾系列</v>
          </cell>
          <cell r="D89">
            <v>6</v>
          </cell>
          <cell r="E89">
            <v>11</v>
          </cell>
          <cell r="F89">
            <v>1104.38</v>
          </cell>
          <cell r="G89">
            <v>26</v>
          </cell>
          <cell r="H89" t="str">
            <v>丹参+通脉</v>
          </cell>
          <cell r="I89">
            <v>15</v>
          </cell>
          <cell r="J89">
            <v>17</v>
          </cell>
          <cell r="K89">
            <v>190</v>
          </cell>
          <cell r="L89">
            <v>6</v>
          </cell>
          <cell r="M89" t="str">
            <v>氨糖软骨素维生素D钙片</v>
          </cell>
          <cell r="N89">
            <v>29</v>
          </cell>
          <cell r="O89">
            <v>32</v>
          </cell>
          <cell r="P89">
            <v>2616.02</v>
          </cell>
          <cell r="Q89">
            <v>10</v>
          </cell>
        </row>
        <row r="90">
          <cell r="B90">
            <v>102567</v>
          </cell>
          <cell r="C90" t="str">
            <v>补肾系列</v>
          </cell>
          <cell r="D90">
            <v>6</v>
          </cell>
          <cell r="E90">
            <v>11</v>
          </cell>
          <cell r="F90">
            <v>2761.03</v>
          </cell>
          <cell r="G90">
            <v>39</v>
          </cell>
          <cell r="H90" t="str">
            <v>丹参+通脉</v>
          </cell>
          <cell r="I90">
            <v>15</v>
          </cell>
          <cell r="J90">
            <v>17</v>
          </cell>
          <cell r="K90">
            <v>119.7</v>
          </cell>
          <cell r="L90">
            <v>4</v>
          </cell>
          <cell r="M90" t="str">
            <v>氨糖软骨素维生素D钙片</v>
          </cell>
          <cell r="N90">
            <v>29</v>
          </cell>
          <cell r="O90">
            <v>32</v>
          </cell>
          <cell r="P90">
            <v>1366.64</v>
          </cell>
          <cell r="Q90">
            <v>5</v>
          </cell>
        </row>
        <row r="91">
          <cell r="B91">
            <v>102934</v>
          </cell>
          <cell r="C91" t="str">
            <v>补肾系列</v>
          </cell>
          <cell r="D91">
            <v>24</v>
          </cell>
          <cell r="E91">
            <v>32</v>
          </cell>
          <cell r="F91">
            <v>2547.25</v>
          </cell>
          <cell r="G91">
            <v>57</v>
          </cell>
          <cell r="H91" t="str">
            <v>丹参+通脉</v>
          </cell>
          <cell r="I91">
            <v>42</v>
          </cell>
          <cell r="J91">
            <v>49</v>
          </cell>
          <cell r="K91">
            <v>119.7</v>
          </cell>
          <cell r="L91">
            <v>3</v>
          </cell>
          <cell r="M91" t="str">
            <v>氨糖软骨素维生素D钙片</v>
          </cell>
          <cell r="N91">
            <v>30</v>
          </cell>
          <cell r="O91">
            <v>33</v>
          </cell>
          <cell r="P91">
            <v>4140.8</v>
          </cell>
          <cell r="Q91">
            <v>21</v>
          </cell>
        </row>
        <row r="92">
          <cell r="B92">
            <v>102935</v>
          </cell>
          <cell r="C92" t="str">
            <v>补肾系列</v>
          </cell>
          <cell r="D92">
            <v>6</v>
          </cell>
          <cell r="E92">
            <v>11</v>
          </cell>
          <cell r="F92">
            <v>1647</v>
          </cell>
          <cell r="G92">
            <v>34</v>
          </cell>
          <cell r="H92" t="str">
            <v>丹参+通脉</v>
          </cell>
          <cell r="I92">
            <v>15</v>
          </cell>
          <cell r="J92">
            <v>17</v>
          </cell>
          <cell r="K92">
            <v>159.61</v>
          </cell>
          <cell r="L92">
            <v>5</v>
          </cell>
          <cell r="M92" t="str">
            <v/>
          </cell>
          <cell r="N92">
            <v>29</v>
          </cell>
          <cell r="O92">
            <v>32</v>
          </cell>
          <cell r="P92" t="str">
            <v/>
          </cell>
          <cell r="Q92" t="str">
            <v/>
          </cell>
        </row>
        <row r="93">
          <cell r="B93">
            <v>103198</v>
          </cell>
          <cell r="C93" t="str">
            <v>补肾系列</v>
          </cell>
          <cell r="D93">
            <v>6</v>
          </cell>
          <cell r="E93">
            <v>11</v>
          </cell>
          <cell r="F93">
            <v>1767.5</v>
          </cell>
          <cell r="G93">
            <v>33</v>
          </cell>
          <cell r="H93" t="str">
            <v>丹参+通脉</v>
          </cell>
          <cell r="I93">
            <v>15</v>
          </cell>
          <cell r="J93">
            <v>17</v>
          </cell>
          <cell r="K93">
            <v>434.6</v>
          </cell>
          <cell r="L93">
            <v>12</v>
          </cell>
          <cell r="M93" t="str">
            <v>氨糖软骨素维生素D钙片</v>
          </cell>
          <cell r="N93">
            <v>29</v>
          </cell>
          <cell r="O93">
            <v>32</v>
          </cell>
          <cell r="P93">
            <v>1946</v>
          </cell>
          <cell r="Q93">
            <v>10</v>
          </cell>
        </row>
        <row r="94">
          <cell r="B94">
            <v>103199</v>
          </cell>
          <cell r="C94" t="str">
            <v>补肾系列</v>
          </cell>
          <cell r="D94">
            <v>6</v>
          </cell>
          <cell r="E94">
            <v>11</v>
          </cell>
          <cell r="F94">
            <v>358.5</v>
          </cell>
          <cell r="G94">
            <v>9</v>
          </cell>
          <cell r="H94" t="str">
            <v>丹参+通脉</v>
          </cell>
          <cell r="I94">
            <v>15</v>
          </cell>
          <cell r="J94">
            <v>17</v>
          </cell>
          <cell r="K94">
            <v>76</v>
          </cell>
          <cell r="L94">
            <v>2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2251.04</v>
          </cell>
          <cell r="Q94">
            <v>11</v>
          </cell>
        </row>
        <row r="95">
          <cell r="B95">
            <v>103639</v>
          </cell>
          <cell r="C95" t="str">
            <v>补肾系列</v>
          </cell>
          <cell r="D95">
            <v>6</v>
          </cell>
          <cell r="E95">
            <v>11</v>
          </cell>
          <cell r="F95">
            <v>1508.62</v>
          </cell>
          <cell r="G95">
            <v>23</v>
          </cell>
          <cell r="H95" t="str">
            <v>丹参+通脉</v>
          </cell>
          <cell r="I95">
            <v>15</v>
          </cell>
          <cell r="J95">
            <v>17</v>
          </cell>
          <cell r="K95">
            <v>354</v>
          </cell>
          <cell r="L95">
            <v>11</v>
          </cell>
          <cell r="M95" t="str">
            <v>氨糖软骨素维生素D钙片</v>
          </cell>
          <cell r="N95">
            <v>29</v>
          </cell>
          <cell r="O95">
            <v>32</v>
          </cell>
          <cell r="P95">
            <v>4963.88</v>
          </cell>
          <cell r="Q95">
            <v>22</v>
          </cell>
        </row>
        <row r="96">
          <cell r="B96">
            <v>104428</v>
          </cell>
          <cell r="C96" t="str">
            <v>补肾系列</v>
          </cell>
          <cell r="D96" t="str">
            <v/>
          </cell>
          <cell r="E96" t="str">
            <v/>
          </cell>
          <cell r="F96">
            <v>1537.3</v>
          </cell>
          <cell r="G96">
            <v>23</v>
          </cell>
          <cell r="H96" t="str">
            <v>丹参+通脉</v>
          </cell>
          <cell r="I96" t="str">
            <v/>
          </cell>
          <cell r="J96" t="str">
            <v/>
          </cell>
          <cell r="K96">
            <v>199.5</v>
          </cell>
          <cell r="L96">
            <v>6</v>
          </cell>
          <cell r="M96" t="str">
            <v>氨糖软骨素维生素D钙片</v>
          </cell>
          <cell r="N96" t="str">
            <v/>
          </cell>
          <cell r="O96" t="str">
            <v/>
          </cell>
          <cell r="P96">
            <v>2574</v>
          </cell>
          <cell r="Q96">
            <v>20</v>
          </cell>
        </row>
        <row r="97">
          <cell r="B97">
            <v>104429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50</v>
          </cell>
          <cell r="G97">
            <v>2</v>
          </cell>
          <cell r="H97" t="str">
            <v>丹参+通脉</v>
          </cell>
          <cell r="I97" t="str">
            <v/>
          </cell>
          <cell r="J97" t="str">
            <v/>
          </cell>
          <cell r="K97">
            <v>39.9</v>
          </cell>
          <cell r="L97">
            <v>1</v>
          </cell>
          <cell r="M97" t="str">
            <v>氨糖软骨素维生素D钙片</v>
          </cell>
          <cell r="N97" t="str">
            <v/>
          </cell>
          <cell r="O97" t="str">
            <v/>
          </cell>
          <cell r="P97">
            <v>1262</v>
          </cell>
          <cell r="Q97">
            <v>5</v>
          </cell>
        </row>
        <row r="98">
          <cell r="B98">
            <v>104430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396</v>
          </cell>
          <cell r="G98">
            <v>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>氨糖软骨素维生素D钙片</v>
          </cell>
          <cell r="N98" t="str">
            <v/>
          </cell>
          <cell r="O98" t="str">
            <v/>
          </cell>
          <cell r="P98">
            <v>776</v>
          </cell>
          <cell r="Q98">
            <v>3</v>
          </cell>
        </row>
        <row r="99">
          <cell r="B99">
            <v>104533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427.01</v>
          </cell>
          <cell r="G99">
            <v>14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>氨糖软骨素维生素D钙片</v>
          </cell>
          <cell r="N99" t="str">
            <v/>
          </cell>
          <cell r="O99" t="str">
            <v/>
          </cell>
          <cell r="P99">
            <v>1416.32</v>
          </cell>
          <cell r="Q99">
            <v>10</v>
          </cell>
        </row>
        <row r="100">
          <cell r="B100">
            <v>104838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952.03</v>
          </cell>
          <cell r="G100">
            <v>15</v>
          </cell>
          <cell r="H100" t="str">
            <v>丹参+通脉</v>
          </cell>
          <cell r="I100" t="str">
            <v/>
          </cell>
          <cell r="J100" t="str">
            <v/>
          </cell>
          <cell r="K100">
            <v>159.6</v>
          </cell>
          <cell r="L100">
            <v>4</v>
          </cell>
          <cell r="M100" t="str">
            <v>氨糖软骨素维生素D钙片</v>
          </cell>
          <cell r="N100" t="str">
            <v/>
          </cell>
          <cell r="O100" t="str">
            <v/>
          </cell>
          <cell r="P100">
            <v>3104.42</v>
          </cell>
          <cell r="Q100">
            <v>12</v>
          </cell>
        </row>
        <row r="101">
          <cell r="P101">
            <v>341500.38</v>
          </cell>
          <cell r="Q101">
            <v>1456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E4" sqref="E4"/>
    </sheetView>
  </sheetViews>
  <sheetFormatPr defaultColWidth="9" defaultRowHeight="13.5"/>
  <cols>
    <col min="1" max="1" width="5.875" style="3" customWidth="1"/>
    <col min="2" max="2" width="11" style="3" customWidth="1"/>
    <col min="3" max="3" width="8.125" style="3" customWidth="1"/>
    <col min="4" max="4" width="17.25" style="117" customWidth="1"/>
    <col min="5" max="5" width="16" style="117" customWidth="1"/>
    <col min="6" max="6" width="14.125" style="3" customWidth="1"/>
    <col min="7" max="7" width="9.125" style="3" customWidth="1"/>
    <col min="8" max="8" width="7.5" style="3" customWidth="1"/>
    <col min="9" max="9" width="10.125" style="3" customWidth="1"/>
    <col min="10" max="10" width="16.25" style="156" customWidth="1"/>
    <col min="11" max="11" width="10.125" style="3" customWidth="1"/>
    <col min="12" max="12" width="11.125" style="157" customWidth="1"/>
    <col min="13" max="13" width="11.125" style="157" hidden="1" customWidth="1"/>
    <col min="14" max="14" width="7.25" style="157" customWidth="1"/>
    <col min="15" max="15" width="8.875" style="3" customWidth="1"/>
    <col min="16" max="17" width="9.75" style="3" customWidth="1"/>
    <col min="18" max="18" width="9.875" style="3" customWidth="1"/>
    <col min="19" max="19" width="7.25" style="157" customWidth="1"/>
    <col min="20" max="20" width="6" style="3" customWidth="1"/>
  </cols>
  <sheetData>
    <row r="1" ht="41" customHeight="1" spans="1:20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67"/>
      <c r="K1" s="158"/>
      <c r="L1" s="21" t="s">
        <v>1</v>
      </c>
      <c r="M1" s="21"/>
      <c r="N1" s="21"/>
      <c r="O1" s="168" t="s">
        <v>2</v>
      </c>
      <c r="P1" s="168"/>
      <c r="Q1" s="21" t="s">
        <v>3</v>
      </c>
      <c r="R1" s="21"/>
      <c r="S1" s="21"/>
      <c r="T1" s="158"/>
    </row>
    <row r="2" s="27" customFormat="1" ht="46" customHeight="1" spans="1:20">
      <c r="A2" s="159" t="s">
        <v>4</v>
      </c>
      <c r="B2" s="159" t="s">
        <v>5</v>
      </c>
      <c r="C2" s="159" t="s">
        <v>6</v>
      </c>
      <c r="D2" s="159" t="s">
        <v>7</v>
      </c>
      <c r="E2" s="159" t="s">
        <v>8</v>
      </c>
      <c r="F2" s="159" t="s">
        <v>9</v>
      </c>
      <c r="G2" s="159" t="s">
        <v>10</v>
      </c>
      <c r="H2" s="159" t="s">
        <v>11</v>
      </c>
      <c r="I2" s="159" t="s">
        <v>12</v>
      </c>
      <c r="J2" s="159" t="s">
        <v>13</v>
      </c>
      <c r="K2" s="159" t="s">
        <v>14</v>
      </c>
      <c r="L2" s="28" t="s">
        <v>15</v>
      </c>
      <c r="M2" s="28" t="s">
        <v>16</v>
      </c>
      <c r="N2" s="28" t="s">
        <v>17</v>
      </c>
      <c r="O2" s="159" t="s">
        <v>18</v>
      </c>
      <c r="P2" s="159" t="s">
        <v>19</v>
      </c>
      <c r="Q2" s="28" t="s">
        <v>20</v>
      </c>
      <c r="R2" s="28" t="s">
        <v>21</v>
      </c>
      <c r="S2" s="28" t="s">
        <v>22</v>
      </c>
      <c r="T2" s="184" t="s">
        <v>23</v>
      </c>
    </row>
    <row r="3" s="79" customFormat="1" ht="49" customHeight="1" spans="1:20">
      <c r="A3" s="160">
        <v>1</v>
      </c>
      <c r="B3" s="123" t="s">
        <v>24</v>
      </c>
      <c r="C3" s="161">
        <v>133360</v>
      </c>
      <c r="D3" s="161" t="s">
        <v>25</v>
      </c>
      <c r="E3" s="161" t="s">
        <v>26</v>
      </c>
      <c r="F3" s="161" t="s">
        <v>27</v>
      </c>
      <c r="G3" s="161">
        <f>VLOOKUP(C:C,[1]考核价查询!$A$1:$E$65536,5,0)</f>
        <v>16.4</v>
      </c>
      <c r="H3" s="161">
        <v>39.9</v>
      </c>
      <c r="I3" s="169">
        <f>(H3-G3)/H3</f>
        <v>0.588972431077694</v>
      </c>
      <c r="J3" s="170" t="s">
        <v>28</v>
      </c>
      <c r="K3" s="169" t="s">
        <v>29</v>
      </c>
      <c r="L3" s="171">
        <v>0.07</v>
      </c>
      <c r="M3" s="172">
        <f>H3*L3</f>
        <v>2.793</v>
      </c>
      <c r="N3" s="171">
        <v>0.09</v>
      </c>
      <c r="O3" s="173">
        <v>864</v>
      </c>
      <c r="P3" s="161"/>
      <c r="Q3" s="185">
        <v>1520</v>
      </c>
      <c r="R3" s="185">
        <v>2023</v>
      </c>
      <c r="S3" s="186" t="s">
        <v>30</v>
      </c>
      <c r="T3" s="161" t="s">
        <v>31</v>
      </c>
    </row>
    <row r="4" s="79" customFormat="1" ht="35" customHeight="1" spans="1:20">
      <c r="A4" s="160">
        <f>A3+1</f>
        <v>2</v>
      </c>
      <c r="B4" s="123"/>
      <c r="C4" s="161">
        <v>31440</v>
      </c>
      <c r="D4" s="161" t="s">
        <v>32</v>
      </c>
      <c r="E4" s="161" t="s">
        <v>33</v>
      </c>
      <c r="F4" s="161" t="s">
        <v>34</v>
      </c>
      <c r="G4" s="161">
        <f>VLOOKUP(C:C,[1]考核价查询!$A$1:$E$65536,5,0)</f>
        <v>15.2</v>
      </c>
      <c r="H4" s="161">
        <v>38</v>
      </c>
      <c r="I4" s="169">
        <f>(H4-G4)/H4</f>
        <v>0.6</v>
      </c>
      <c r="J4" s="170" t="s">
        <v>35</v>
      </c>
      <c r="K4" s="169" t="s">
        <v>29</v>
      </c>
      <c r="L4" s="171">
        <v>0.07</v>
      </c>
      <c r="M4" s="172">
        <f>H4*L4</f>
        <v>2.66</v>
      </c>
      <c r="N4" s="171">
        <v>0.09</v>
      </c>
      <c r="O4" s="173">
        <v>233</v>
      </c>
      <c r="P4" s="161"/>
      <c r="Q4" s="187"/>
      <c r="R4" s="187"/>
      <c r="S4" s="188"/>
      <c r="T4" s="161" t="s">
        <v>31</v>
      </c>
    </row>
    <row r="5" ht="25" customHeight="1" spans="1:20">
      <c r="A5" s="45">
        <f>A4+1</f>
        <v>3</v>
      </c>
      <c r="B5" s="162" t="s">
        <v>36</v>
      </c>
      <c r="C5" s="13">
        <v>118954</v>
      </c>
      <c r="D5" s="13" t="s">
        <v>37</v>
      </c>
      <c r="E5" s="13" t="s">
        <v>38</v>
      </c>
      <c r="F5" s="13" t="s">
        <v>39</v>
      </c>
      <c r="G5" s="36">
        <f>VLOOKUP(C:C,[1]考核价查询!$A$1:$E$65536,5,0)</f>
        <v>9.3</v>
      </c>
      <c r="H5" s="36">
        <v>21.9</v>
      </c>
      <c r="I5" s="174">
        <f>(H5-G5)/H5</f>
        <v>0.575342465753425</v>
      </c>
      <c r="J5" s="175" t="s">
        <v>29</v>
      </c>
      <c r="K5" s="174"/>
      <c r="L5" s="176" t="s">
        <v>40</v>
      </c>
      <c r="M5" s="177"/>
      <c r="N5" s="176"/>
      <c r="O5" s="36"/>
      <c r="P5" s="178">
        <v>53959</v>
      </c>
      <c r="Q5" s="178">
        <v>53959</v>
      </c>
      <c r="R5" s="189"/>
      <c r="S5" s="179"/>
      <c r="T5" s="36"/>
    </row>
    <row r="6" ht="48" customHeight="1" spans="1:20">
      <c r="A6" s="45">
        <f t="shared" ref="A5:A17" si="0">A5+1</f>
        <v>4</v>
      </c>
      <c r="B6" s="162"/>
      <c r="C6" s="13">
        <v>136714</v>
      </c>
      <c r="D6" s="13" t="s">
        <v>41</v>
      </c>
      <c r="E6" s="13" t="s">
        <v>42</v>
      </c>
      <c r="F6" s="13" t="s">
        <v>43</v>
      </c>
      <c r="G6" s="36">
        <f>VLOOKUP(C:C,[1]考核价查询!$A$1:$E$65536,5,0)</f>
        <v>14.8</v>
      </c>
      <c r="H6" s="36">
        <v>29.8</v>
      </c>
      <c r="I6" s="174">
        <f t="shared" ref="I6:I15" si="1">(H6-G6)/H6</f>
        <v>0.503355704697987</v>
      </c>
      <c r="J6" s="175" t="s">
        <v>44</v>
      </c>
      <c r="K6" s="174"/>
      <c r="L6" s="176" t="s">
        <v>40</v>
      </c>
      <c r="M6" s="177"/>
      <c r="N6" s="176"/>
      <c r="O6" s="36"/>
      <c r="P6" s="178">
        <v>96817</v>
      </c>
      <c r="Q6" s="178">
        <v>96817</v>
      </c>
      <c r="R6" s="189"/>
      <c r="S6" s="179"/>
      <c r="T6" s="36"/>
    </row>
    <row r="7" ht="25" customHeight="1" spans="1:20">
      <c r="A7" s="45">
        <f t="shared" si="0"/>
        <v>5</v>
      </c>
      <c r="B7" s="162"/>
      <c r="C7" s="36">
        <v>139379</v>
      </c>
      <c r="D7" s="36" t="s">
        <v>45</v>
      </c>
      <c r="E7" s="36" t="s">
        <v>46</v>
      </c>
      <c r="F7" s="36" t="s">
        <v>34</v>
      </c>
      <c r="G7" s="36">
        <f>VLOOKUP(C:C,[1]考核价查询!$A$1:$E$65536,5,0)</f>
        <v>8.4</v>
      </c>
      <c r="H7" s="36">
        <v>24</v>
      </c>
      <c r="I7" s="174">
        <f t="shared" si="1"/>
        <v>0.65</v>
      </c>
      <c r="J7" s="175" t="s">
        <v>29</v>
      </c>
      <c r="K7" s="174" t="s">
        <v>29</v>
      </c>
      <c r="L7" s="179">
        <v>0.05</v>
      </c>
      <c r="M7" s="177">
        <f>H7*L7</f>
        <v>1.2</v>
      </c>
      <c r="N7" s="176"/>
      <c r="O7" s="36"/>
      <c r="P7" s="178">
        <v>100485</v>
      </c>
      <c r="Q7" s="178">
        <v>100485</v>
      </c>
      <c r="R7" s="189"/>
      <c r="S7" s="179"/>
      <c r="T7" s="36"/>
    </row>
    <row r="8" ht="25" customHeight="1" spans="1:20">
      <c r="A8" s="45">
        <f t="shared" si="0"/>
        <v>6</v>
      </c>
      <c r="B8" s="162"/>
      <c r="C8" s="36">
        <v>113826</v>
      </c>
      <c r="D8" s="36" t="s">
        <v>47</v>
      </c>
      <c r="E8" s="36" t="s">
        <v>48</v>
      </c>
      <c r="F8" s="36" t="s">
        <v>49</v>
      </c>
      <c r="G8" s="36">
        <f>VLOOKUP(C:C,[1]考核价查询!$A$1:$E$65536,5,0)</f>
        <v>12</v>
      </c>
      <c r="H8" s="36">
        <v>22</v>
      </c>
      <c r="I8" s="174">
        <f t="shared" si="1"/>
        <v>0.454545454545455</v>
      </c>
      <c r="J8" s="175" t="s">
        <v>29</v>
      </c>
      <c r="K8" s="180">
        <v>3</v>
      </c>
      <c r="L8" s="179">
        <v>0.07</v>
      </c>
      <c r="M8" s="177">
        <f t="shared" ref="M5:M15" si="2">H8*L8</f>
        <v>1.54</v>
      </c>
      <c r="N8" s="176"/>
      <c r="O8" s="36"/>
      <c r="P8" s="178">
        <v>5616</v>
      </c>
      <c r="Q8" s="178">
        <v>5616</v>
      </c>
      <c r="R8" s="189"/>
      <c r="S8" s="179"/>
      <c r="T8" s="36"/>
    </row>
    <row r="9" ht="25" customHeight="1" spans="1:20">
      <c r="A9" s="45">
        <f t="shared" si="0"/>
        <v>7</v>
      </c>
      <c r="B9" s="163" t="s">
        <v>50</v>
      </c>
      <c r="C9" s="14">
        <v>162305</v>
      </c>
      <c r="D9" s="14" t="s">
        <v>51</v>
      </c>
      <c r="E9" s="14" t="s">
        <v>52</v>
      </c>
      <c r="F9" s="36" t="s">
        <v>53</v>
      </c>
      <c r="G9" s="36">
        <f>VLOOKUP(C:C,[1]考核价查询!$A$1:$E$65536,5,0)</f>
        <v>174.6</v>
      </c>
      <c r="H9" s="36">
        <v>388</v>
      </c>
      <c r="I9" s="174">
        <f t="shared" si="1"/>
        <v>0.55</v>
      </c>
      <c r="J9" s="175" t="s">
        <v>54</v>
      </c>
      <c r="K9" s="174"/>
      <c r="L9" s="181">
        <v>0.08</v>
      </c>
      <c r="M9" s="177">
        <f t="shared" si="2"/>
        <v>31.04</v>
      </c>
      <c r="N9" s="20"/>
      <c r="O9" s="36">
        <v>798</v>
      </c>
      <c r="P9" s="36"/>
      <c r="Q9" s="36">
        <v>798</v>
      </c>
      <c r="R9" s="36"/>
      <c r="S9" s="20"/>
      <c r="T9" s="36"/>
    </row>
    <row r="10" ht="25" customHeight="1" spans="1:20">
      <c r="A10" s="45">
        <f t="shared" si="0"/>
        <v>8</v>
      </c>
      <c r="B10" s="163"/>
      <c r="C10" s="14">
        <v>116987</v>
      </c>
      <c r="D10" s="14" t="s">
        <v>55</v>
      </c>
      <c r="E10" s="14" t="s">
        <v>56</v>
      </c>
      <c r="F10" s="36" t="s">
        <v>57</v>
      </c>
      <c r="G10" s="36">
        <f>VLOOKUP(C:C,[1]考核价查询!$A$1:$E$65536,5,0)</f>
        <v>71</v>
      </c>
      <c r="H10" s="36">
        <v>198</v>
      </c>
      <c r="I10" s="174">
        <f t="shared" si="1"/>
        <v>0.641414141414141</v>
      </c>
      <c r="J10" s="175" t="s">
        <v>58</v>
      </c>
      <c r="K10" s="174"/>
      <c r="L10" s="182">
        <v>0.05</v>
      </c>
      <c r="M10" s="177">
        <f t="shared" si="2"/>
        <v>9.9</v>
      </c>
      <c r="N10" s="21"/>
      <c r="O10" s="36">
        <v>71</v>
      </c>
      <c r="P10" s="36"/>
      <c r="Q10" s="36">
        <v>71</v>
      </c>
      <c r="R10" s="36"/>
      <c r="S10" s="21"/>
      <c r="T10" s="36"/>
    </row>
    <row r="11" ht="25" customHeight="1" spans="1:20">
      <c r="A11" s="45">
        <f t="shared" si="0"/>
        <v>9</v>
      </c>
      <c r="B11" s="164" t="s">
        <v>59</v>
      </c>
      <c r="C11" s="14">
        <v>164949</v>
      </c>
      <c r="D11" s="14" t="s">
        <v>60</v>
      </c>
      <c r="E11" s="15" t="s">
        <v>61</v>
      </c>
      <c r="F11" s="16" t="s">
        <v>49</v>
      </c>
      <c r="G11" s="36">
        <f>VLOOKUP(C:C,[1]考核价查询!$A$1:$E$65536,5,0)</f>
        <v>84</v>
      </c>
      <c r="H11" s="165">
        <v>180</v>
      </c>
      <c r="I11" s="174">
        <f t="shared" si="1"/>
        <v>0.533333333333333</v>
      </c>
      <c r="J11" s="175" t="s">
        <v>62</v>
      </c>
      <c r="K11" s="180">
        <v>5</v>
      </c>
      <c r="L11" s="182">
        <v>0.07</v>
      </c>
      <c r="M11" s="177">
        <f t="shared" si="2"/>
        <v>12.6</v>
      </c>
      <c r="N11" s="21" t="s">
        <v>63</v>
      </c>
      <c r="O11" s="165">
        <v>34449</v>
      </c>
      <c r="P11" s="165"/>
      <c r="Q11" s="165">
        <v>34449</v>
      </c>
      <c r="R11" s="190"/>
      <c r="S11" s="21"/>
      <c r="T11" s="36"/>
    </row>
    <row r="12" ht="25" customHeight="1" spans="1:20">
      <c r="A12" s="45">
        <f t="shared" si="0"/>
        <v>10</v>
      </c>
      <c r="B12" s="164"/>
      <c r="C12" s="14">
        <v>75138</v>
      </c>
      <c r="D12" s="14" t="s">
        <v>60</v>
      </c>
      <c r="E12" s="14" t="s">
        <v>64</v>
      </c>
      <c r="F12" s="16" t="s">
        <v>49</v>
      </c>
      <c r="G12" s="36">
        <f>VLOOKUP(C:C,[1]考核价查询!$A$1:$E$65536,5,0)</f>
        <v>60</v>
      </c>
      <c r="H12" s="166">
        <v>86</v>
      </c>
      <c r="I12" s="174">
        <f t="shared" si="1"/>
        <v>0.302325581395349</v>
      </c>
      <c r="J12" s="175" t="s">
        <v>65</v>
      </c>
      <c r="K12" s="180">
        <v>3</v>
      </c>
      <c r="L12" s="181">
        <v>0.07</v>
      </c>
      <c r="M12" s="177">
        <f t="shared" si="2"/>
        <v>6.02</v>
      </c>
      <c r="N12" s="21" t="s">
        <v>66</v>
      </c>
      <c r="O12" s="165"/>
      <c r="P12" s="165"/>
      <c r="Q12" s="165"/>
      <c r="R12" s="191"/>
      <c r="S12" s="21"/>
      <c r="T12" s="36"/>
    </row>
    <row r="13" ht="25" customHeight="1" spans="1:20">
      <c r="A13" s="45">
        <f t="shared" si="0"/>
        <v>11</v>
      </c>
      <c r="B13" s="164"/>
      <c r="C13" s="14">
        <v>84174</v>
      </c>
      <c r="D13" s="14" t="s">
        <v>67</v>
      </c>
      <c r="E13" s="14" t="s">
        <v>68</v>
      </c>
      <c r="F13" s="16" t="s">
        <v>34</v>
      </c>
      <c r="G13" s="36">
        <f>VLOOKUP(C:C,[1]考核价查询!$A$1:$E$65536,5,0)</f>
        <v>12.25</v>
      </c>
      <c r="H13" s="9">
        <v>35</v>
      </c>
      <c r="I13" s="174">
        <f t="shared" si="1"/>
        <v>0.65</v>
      </c>
      <c r="J13" s="175" t="s">
        <v>29</v>
      </c>
      <c r="K13" s="174" t="s">
        <v>29</v>
      </c>
      <c r="L13" s="182">
        <v>0.07</v>
      </c>
      <c r="M13" s="177">
        <f t="shared" si="2"/>
        <v>2.45</v>
      </c>
      <c r="N13" s="21"/>
      <c r="O13" s="166"/>
      <c r="P13" s="166">
        <v>64600</v>
      </c>
      <c r="Q13" s="166">
        <v>64600</v>
      </c>
      <c r="R13" s="166"/>
      <c r="S13" s="21"/>
      <c r="T13" s="36"/>
    </row>
    <row r="14" ht="25" customHeight="1" spans="1:20">
      <c r="A14" s="45">
        <f t="shared" si="0"/>
        <v>12</v>
      </c>
      <c r="B14" s="164"/>
      <c r="C14" s="14">
        <v>166880</v>
      </c>
      <c r="D14" s="14" t="s">
        <v>69</v>
      </c>
      <c r="E14" s="14" t="s">
        <v>70</v>
      </c>
      <c r="F14" s="10" t="s">
        <v>71</v>
      </c>
      <c r="G14" s="36">
        <f>VLOOKUP(C:C,[1]考核价查询!$A$1:$E$65536,5,0)</f>
        <v>89.1</v>
      </c>
      <c r="H14" s="10">
        <v>198</v>
      </c>
      <c r="I14" s="174">
        <f t="shared" si="1"/>
        <v>0.55</v>
      </c>
      <c r="J14" s="175" t="s">
        <v>72</v>
      </c>
      <c r="K14" s="180">
        <v>4</v>
      </c>
      <c r="L14" s="182">
        <v>0.07</v>
      </c>
      <c r="M14" s="177">
        <f t="shared" si="2"/>
        <v>13.86</v>
      </c>
      <c r="N14" s="183" t="s">
        <v>63</v>
      </c>
      <c r="O14" s="10">
        <v>29100</v>
      </c>
      <c r="P14" s="10"/>
      <c r="Q14" s="192">
        <v>36518</v>
      </c>
      <c r="R14" s="10">
        <f>Q14*1.5</f>
        <v>54777</v>
      </c>
      <c r="S14" s="21"/>
      <c r="T14" s="36"/>
    </row>
    <row r="15" ht="25" customHeight="1" spans="1:20">
      <c r="A15" s="45">
        <f t="shared" si="0"/>
        <v>13</v>
      </c>
      <c r="B15" s="164"/>
      <c r="C15" s="14">
        <v>21580</v>
      </c>
      <c r="D15" s="14" t="s">
        <v>73</v>
      </c>
      <c r="E15" s="14" t="s">
        <v>74</v>
      </c>
      <c r="F15" s="10" t="s">
        <v>27</v>
      </c>
      <c r="G15" s="36">
        <f>VLOOKUP(C:C,[1]考核价查询!$A$1:$E$65536,5,0)</f>
        <v>55.6</v>
      </c>
      <c r="H15" s="10">
        <v>98</v>
      </c>
      <c r="I15" s="174">
        <f t="shared" si="1"/>
        <v>0.43265306122449</v>
      </c>
      <c r="J15" s="175" t="s">
        <v>75</v>
      </c>
      <c r="K15" s="174" t="s">
        <v>29</v>
      </c>
      <c r="L15" s="182">
        <v>0.07</v>
      </c>
      <c r="M15" s="177">
        <f t="shared" si="2"/>
        <v>6.86</v>
      </c>
      <c r="N15" s="21"/>
      <c r="O15" s="10"/>
      <c r="P15" s="10">
        <v>20400</v>
      </c>
      <c r="Q15" s="10">
        <v>20400</v>
      </c>
      <c r="R15" s="10"/>
      <c r="S15" s="21"/>
      <c r="T15" s="36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81" customWidth="1"/>
    <col min="2" max="2" width="6.75" style="81" customWidth="1"/>
    <col min="3" max="3" width="21.25" style="115" customWidth="1"/>
    <col min="4" max="4" width="3.625" style="81" customWidth="1"/>
    <col min="5" max="5" width="11" style="115" customWidth="1"/>
    <col min="6" max="6" width="18.75" style="3" customWidth="1"/>
    <col min="7" max="7" width="23" style="3" customWidth="1"/>
    <col min="8" max="8" width="16.25" style="3" customWidth="1"/>
    <col min="9" max="9" width="14.5" style="3" customWidth="1"/>
    <col min="10" max="10" width="9" style="3" customWidth="1"/>
    <col min="11" max="11" width="9" customWidth="1"/>
    <col min="12" max="12" width="15.625" style="3" customWidth="1"/>
    <col min="13" max="13" width="18.5" style="3" customWidth="1"/>
    <col min="14" max="14" width="15.25" style="3" customWidth="1"/>
    <col min="15" max="17" width="9" customWidth="1"/>
    <col min="18" max="18" width="11.25" style="84" customWidth="1"/>
    <col min="19" max="20" width="11.25" style="137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118" t="s">
        <v>76</v>
      </c>
      <c r="B1" s="118"/>
      <c r="C1" s="138"/>
      <c r="D1" s="118"/>
      <c r="E1" s="32"/>
      <c r="F1" s="122"/>
      <c r="G1" s="122"/>
      <c r="H1" s="122"/>
      <c r="I1" s="122"/>
      <c r="J1" s="122"/>
      <c r="K1" s="144"/>
      <c r="L1" s="122" t="s">
        <v>36</v>
      </c>
      <c r="M1" s="122"/>
      <c r="N1" s="122"/>
      <c r="O1" s="145" t="s">
        <v>50</v>
      </c>
      <c r="P1" s="145"/>
      <c r="Q1" s="145"/>
      <c r="R1" s="11" t="s">
        <v>50</v>
      </c>
      <c r="S1" s="11"/>
      <c r="T1" s="11"/>
      <c r="U1" s="26" t="s">
        <v>77</v>
      </c>
      <c r="V1" s="26"/>
      <c r="W1" s="26"/>
    </row>
    <row r="2" s="26" customFormat="1" ht="23" customHeight="1" spans="1:28">
      <c r="A2" s="28" t="s">
        <v>4</v>
      </c>
      <c r="B2" s="28" t="s">
        <v>78</v>
      </c>
      <c r="C2" s="139" t="s">
        <v>79</v>
      </c>
      <c r="D2" s="28" t="s">
        <v>80</v>
      </c>
      <c r="E2" s="28" t="s">
        <v>81</v>
      </c>
      <c r="F2" s="140" t="s">
        <v>82</v>
      </c>
      <c r="G2" s="140" t="s">
        <v>83</v>
      </c>
      <c r="H2" s="140" t="s">
        <v>83</v>
      </c>
      <c r="I2" s="122" t="s">
        <v>84</v>
      </c>
      <c r="J2" s="122" t="s">
        <v>85</v>
      </c>
      <c r="K2" s="145"/>
      <c r="L2" s="146" t="s">
        <v>20</v>
      </c>
      <c r="M2" s="122" t="s">
        <v>86</v>
      </c>
      <c r="N2" s="146" t="s">
        <v>21</v>
      </c>
      <c r="O2" s="145" t="s">
        <v>87</v>
      </c>
      <c r="P2" s="145" t="s">
        <v>88</v>
      </c>
      <c r="Q2" s="145"/>
      <c r="R2" s="147" t="s">
        <v>20</v>
      </c>
      <c r="S2" s="148" t="s">
        <v>21</v>
      </c>
      <c r="T2" s="149" t="s">
        <v>21</v>
      </c>
      <c r="U2" s="150" t="s">
        <v>20</v>
      </c>
      <c r="V2" s="151" t="s">
        <v>21</v>
      </c>
      <c r="W2" s="26" t="s">
        <v>89</v>
      </c>
      <c r="X2" s="26" t="s">
        <v>85</v>
      </c>
      <c r="Z2" s="151" t="s">
        <v>90</v>
      </c>
      <c r="AB2" s="150" t="s">
        <v>21</v>
      </c>
    </row>
    <row r="3" spans="1:28">
      <c r="A3" s="89">
        <v>1</v>
      </c>
      <c r="B3" s="89">
        <v>343</v>
      </c>
      <c r="C3" s="141" t="s">
        <v>91</v>
      </c>
      <c r="D3" s="89" t="s">
        <v>92</v>
      </c>
      <c r="E3" s="89" t="s">
        <v>93</v>
      </c>
      <c r="F3" s="122">
        <v>29</v>
      </c>
      <c r="G3" s="122">
        <f>F3*1.2</f>
        <v>34.8</v>
      </c>
      <c r="H3" s="122">
        <f>ROUND(G3,0)</f>
        <v>35</v>
      </c>
      <c r="I3" s="122">
        <v>35</v>
      </c>
      <c r="J3" s="122">
        <v>27</v>
      </c>
      <c r="K3" s="144">
        <v>3</v>
      </c>
      <c r="L3" s="122">
        <v>293</v>
      </c>
      <c r="M3" s="122">
        <f>L3*1.09</f>
        <v>319.37</v>
      </c>
      <c r="N3" s="122">
        <f>ROUND(M3,0)</f>
        <v>319</v>
      </c>
      <c r="O3" s="144">
        <f>VLOOKUP(B:B,[3]Sheet6!$G$1:$H$65536,2,0)</f>
        <v>23</v>
      </c>
      <c r="P3" s="144">
        <f>VLOOKUP(B:B,'10月'!B:S,18,0)</f>
        <v>13</v>
      </c>
      <c r="Q3" s="144">
        <f>P3-O3</f>
        <v>-10</v>
      </c>
      <c r="R3" s="11">
        <f>O3</f>
        <v>23</v>
      </c>
      <c r="S3" s="152">
        <f>R3*1.15</f>
        <v>26.45</v>
      </c>
      <c r="T3" s="152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89">
        <v>2</v>
      </c>
      <c r="B4" s="89">
        <v>581</v>
      </c>
      <c r="C4" s="141" t="s">
        <v>94</v>
      </c>
      <c r="D4" s="89" t="s">
        <v>95</v>
      </c>
      <c r="E4" s="89" t="s">
        <v>93</v>
      </c>
      <c r="F4" s="122">
        <v>26</v>
      </c>
      <c r="G4" s="122">
        <f t="shared" ref="G4:G13" si="0">F4*1.2</f>
        <v>31.2</v>
      </c>
      <c r="H4" s="122">
        <f t="shared" ref="H4:H35" si="1">ROUND(G4,0)</f>
        <v>31</v>
      </c>
      <c r="I4" s="122">
        <v>8</v>
      </c>
      <c r="J4" s="122">
        <v>27</v>
      </c>
      <c r="K4" s="144">
        <v>-1</v>
      </c>
      <c r="L4" s="122">
        <v>274</v>
      </c>
      <c r="M4" s="122">
        <f>L4*1.09</f>
        <v>298.66</v>
      </c>
      <c r="N4" s="122">
        <f t="shared" ref="N4:N35" si="2">ROUND(M4,0)</f>
        <v>299</v>
      </c>
      <c r="O4" s="144">
        <f>VLOOKUP(B:B,[3]Sheet6!$G$1:$H$65536,2,0)</f>
        <v>12</v>
      </c>
      <c r="P4" s="144">
        <f>VLOOKUP(B:B,'10月'!B:S,18,0)</f>
        <v>3</v>
      </c>
      <c r="Q4" s="144">
        <f t="shared" ref="Q4:Q35" si="3">P4-O4</f>
        <v>-9</v>
      </c>
      <c r="R4" s="11">
        <v>9</v>
      </c>
      <c r="S4" s="152">
        <f>R4*1.4</f>
        <v>12.6</v>
      </c>
      <c r="T4" s="152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79" customFormat="1" spans="1:28">
      <c r="A5" s="89">
        <v>3</v>
      </c>
      <c r="B5" s="89">
        <v>582</v>
      </c>
      <c r="C5" s="141" t="s">
        <v>96</v>
      </c>
      <c r="D5" s="89" t="s">
        <v>92</v>
      </c>
      <c r="E5" s="89" t="s">
        <v>93</v>
      </c>
      <c r="F5" s="122">
        <v>30</v>
      </c>
      <c r="G5" s="122">
        <f t="shared" si="0"/>
        <v>36</v>
      </c>
      <c r="H5" s="122">
        <f t="shared" si="1"/>
        <v>36</v>
      </c>
      <c r="I5" s="122">
        <v>35</v>
      </c>
      <c r="J5" s="122">
        <v>27</v>
      </c>
      <c r="K5" s="144">
        <v>3</v>
      </c>
      <c r="L5" s="122">
        <v>97</v>
      </c>
      <c r="M5" s="123">
        <f>L5*1.3</f>
        <v>126.1</v>
      </c>
      <c r="N5" s="122">
        <f t="shared" si="2"/>
        <v>126</v>
      </c>
      <c r="O5" s="144">
        <f>VLOOKUP(B:B,[3]Sheet6!$G$1:$H$65536,2,0)</f>
        <v>19</v>
      </c>
      <c r="P5" s="144">
        <f>VLOOKUP(B:B,'10月'!B:S,18,0)</f>
        <v>21</v>
      </c>
      <c r="Q5" s="144">
        <f t="shared" si="3"/>
        <v>2</v>
      </c>
      <c r="R5" s="11">
        <v>21</v>
      </c>
      <c r="S5" s="152">
        <f>R5*1.15</f>
        <v>24.15</v>
      </c>
      <c r="T5" s="152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89">
        <v>4</v>
      </c>
      <c r="B6" s="89">
        <v>359</v>
      </c>
      <c r="C6" s="141" t="s">
        <v>97</v>
      </c>
      <c r="D6" s="89" t="s">
        <v>95</v>
      </c>
      <c r="E6" s="89" t="s">
        <v>93</v>
      </c>
      <c r="F6" s="122">
        <v>20</v>
      </c>
      <c r="G6" s="122">
        <f t="shared" si="0"/>
        <v>24</v>
      </c>
      <c r="H6" s="122">
        <f t="shared" si="1"/>
        <v>24</v>
      </c>
      <c r="I6" s="122">
        <v>4</v>
      </c>
      <c r="J6" s="122">
        <v>20</v>
      </c>
      <c r="K6" s="144">
        <v>0</v>
      </c>
      <c r="L6" s="122">
        <v>167</v>
      </c>
      <c r="M6" s="122">
        <f>L6*1.13</f>
        <v>188.71</v>
      </c>
      <c r="N6" s="122">
        <f t="shared" si="2"/>
        <v>189</v>
      </c>
      <c r="O6" s="144">
        <f>VLOOKUP(B:B,[3]Sheet6!$G$1:$H$65536,2,0)</f>
        <v>16</v>
      </c>
      <c r="P6" s="144">
        <f>VLOOKUP(B:B,'10月'!B:S,18,0)</f>
        <v>11</v>
      </c>
      <c r="Q6" s="144">
        <f t="shared" si="3"/>
        <v>-5</v>
      </c>
      <c r="R6" s="11">
        <f>O6</f>
        <v>16</v>
      </c>
      <c r="S6" s="152">
        <f>R6*1.2</f>
        <v>19.2</v>
      </c>
      <c r="T6" s="152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89">
        <v>5</v>
      </c>
      <c r="B7" s="89">
        <v>726</v>
      </c>
      <c r="C7" s="141" t="s">
        <v>98</v>
      </c>
      <c r="D7" s="89" t="s">
        <v>95</v>
      </c>
      <c r="E7" s="89" t="s">
        <v>93</v>
      </c>
      <c r="F7" s="122">
        <v>27</v>
      </c>
      <c r="G7" s="122">
        <f t="shared" si="0"/>
        <v>32.4</v>
      </c>
      <c r="H7" s="122">
        <f t="shared" si="1"/>
        <v>32</v>
      </c>
      <c r="I7" s="122">
        <v>27</v>
      </c>
      <c r="J7" s="122">
        <v>27</v>
      </c>
      <c r="K7" s="144">
        <v>0</v>
      </c>
      <c r="L7" s="122">
        <v>181</v>
      </c>
      <c r="M7" s="122">
        <f>L7*1.13</f>
        <v>204.53</v>
      </c>
      <c r="N7" s="122">
        <f t="shared" si="2"/>
        <v>205</v>
      </c>
      <c r="O7" s="144">
        <f>VLOOKUP(B:B,[3]Sheet6!$G$1:$H$65536,2,0)</f>
        <v>10</v>
      </c>
      <c r="P7" s="144">
        <f>VLOOKUP(B:B,'10月'!B:S,18,0)</f>
        <v>8</v>
      </c>
      <c r="Q7" s="144">
        <f t="shared" si="3"/>
        <v>-2</v>
      </c>
      <c r="R7" s="11">
        <f>O7</f>
        <v>10</v>
      </c>
      <c r="S7" s="152">
        <f>R7*1.4</f>
        <v>14</v>
      </c>
      <c r="T7" s="152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89">
        <v>6</v>
      </c>
      <c r="B8" s="89">
        <v>365</v>
      </c>
      <c r="C8" s="141" t="s">
        <v>99</v>
      </c>
      <c r="D8" s="89" t="s">
        <v>95</v>
      </c>
      <c r="E8" s="89" t="s">
        <v>93</v>
      </c>
      <c r="F8" s="122">
        <v>26</v>
      </c>
      <c r="G8" s="122">
        <f t="shared" si="0"/>
        <v>31.2</v>
      </c>
      <c r="H8" s="122">
        <f t="shared" si="1"/>
        <v>31</v>
      </c>
      <c r="I8" s="122">
        <v>7</v>
      </c>
      <c r="J8" s="122">
        <v>27</v>
      </c>
      <c r="K8" s="144">
        <v>-1</v>
      </c>
      <c r="L8" s="122">
        <v>148</v>
      </c>
      <c r="M8" s="122">
        <f>L8*1.18</f>
        <v>174.64</v>
      </c>
      <c r="N8" s="122">
        <f t="shared" si="2"/>
        <v>175</v>
      </c>
      <c r="O8" s="144">
        <f>VLOOKUP(B:B,[3]Sheet6!$G$1:$H$65536,2,0)</f>
        <v>20</v>
      </c>
      <c r="P8" s="144">
        <f>VLOOKUP(B:B,'10月'!B:S,18,0)</f>
        <v>23</v>
      </c>
      <c r="Q8" s="144">
        <f t="shared" si="3"/>
        <v>3</v>
      </c>
      <c r="R8" s="11">
        <v>23</v>
      </c>
      <c r="S8" s="152">
        <f>R8*1.15</f>
        <v>26.45</v>
      </c>
      <c r="T8" s="152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89">
        <v>7</v>
      </c>
      <c r="B9" s="89">
        <v>513</v>
      </c>
      <c r="C9" s="141" t="s">
        <v>100</v>
      </c>
      <c r="D9" s="89" t="s">
        <v>95</v>
      </c>
      <c r="E9" s="89" t="s">
        <v>93</v>
      </c>
      <c r="F9" s="122">
        <v>20</v>
      </c>
      <c r="G9" s="122">
        <f t="shared" si="0"/>
        <v>24</v>
      </c>
      <c r="H9" s="122">
        <f t="shared" si="1"/>
        <v>24</v>
      </c>
      <c r="I9" s="122">
        <v>9</v>
      </c>
      <c r="J9" s="122">
        <v>20</v>
      </c>
      <c r="K9" s="144">
        <v>0</v>
      </c>
      <c r="L9" s="122">
        <v>161</v>
      </c>
      <c r="M9" s="122">
        <f>L9*1.13</f>
        <v>181.93</v>
      </c>
      <c r="N9" s="122">
        <f t="shared" si="2"/>
        <v>182</v>
      </c>
      <c r="O9" s="144">
        <f>VLOOKUP(B:B,[3]Sheet6!$G$1:$H$65536,2,0)</f>
        <v>5</v>
      </c>
      <c r="P9" s="144">
        <f>VLOOKUP(B:B,'10月'!B:S,18,0)</f>
        <v>2</v>
      </c>
      <c r="Q9" s="144">
        <f t="shared" si="3"/>
        <v>-3</v>
      </c>
      <c r="R9" s="11">
        <f>O9</f>
        <v>5</v>
      </c>
      <c r="S9" s="152">
        <f>R9*1.4</f>
        <v>7</v>
      </c>
      <c r="T9" s="152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89">
        <v>8</v>
      </c>
      <c r="B10" s="89">
        <v>730</v>
      </c>
      <c r="C10" s="141" t="s">
        <v>101</v>
      </c>
      <c r="D10" s="89" t="s">
        <v>95</v>
      </c>
      <c r="E10" s="89" t="s">
        <v>93</v>
      </c>
      <c r="F10" s="122">
        <v>27</v>
      </c>
      <c r="G10" s="122">
        <f t="shared" si="0"/>
        <v>32.4</v>
      </c>
      <c r="H10" s="122">
        <f t="shared" si="1"/>
        <v>32</v>
      </c>
      <c r="I10" s="122">
        <v>1</v>
      </c>
      <c r="J10" s="122">
        <v>27</v>
      </c>
      <c r="K10" s="144">
        <v>0</v>
      </c>
      <c r="L10" s="122">
        <v>108</v>
      </c>
      <c r="M10" s="122">
        <f>L10*1.18</f>
        <v>127.44</v>
      </c>
      <c r="N10" s="122">
        <f t="shared" si="2"/>
        <v>127</v>
      </c>
      <c r="O10" s="144">
        <f>VLOOKUP(B:B,[3]Sheet6!$G$1:$H$65536,2,0)</f>
        <v>8</v>
      </c>
      <c r="P10" s="144">
        <f>VLOOKUP(B:B,'10月'!B:S,18,0)</f>
        <v>5</v>
      </c>
      <c r="Q10" s="144">
        <f t="shared" si="3"/>
        <v>-3</v>
      </c>
      <c r="R10" s="11">
        <v>7</v>
      </c>
      <c r="S10" s="152">
        <f>R10*1.4</f>
        <v>9.8</v>
      </c>
      <c r="T10" s="152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89">
        <v>9</v>
      </c>
      <c r="B11" s="89">
        <v>585</v>
      </c>
      <c r="C11" s="141" t="s">
        <v>102</v>
      </c>
      <c r="D11" s="89" t="s">
        <v>95</v>
      </c>
      <c r="E11" s="89" t="s">
        <v>93</v>
      </c>
      <c r="F11" s="122">
        <v>25</v>
      </c>
      <c r="G11" s="122">
        <f t="shared" si="0"/>
        <v>30</v>
      </c>
      <c r="H11" s="122">
        <f t="shared" si="1"/>
        <v>30</v>
      </c>
      <c r="I11" s="122">
        <v>21</v>
      </c>
      <c r="J11" s="122">
        <v>27</v>
      </c>
      <c r="K11" s="144">
        <v>-2</v>
      </c>
      <c r="L11" s="122">
        <v>194</v>
      </c>
      <c r="M11" s="122">
        <f>L11*1.13</f>
        <v>219.22</v>
      </c>
      <c r="N11" s="122">
        <f t="shared" si="2"/>
        <v>219</v>
      </c>
      <c r="O11" s="144">
        <f>VLOOKUP(B:B,[3]Sheet6!$G$1:$H$65536,2,0)</f>
        <v>26</v>
      </c>
      <c r="P11" s="144">
        <f>VLOOKUP(B:B,'10月'!B:S,18,0)</f>
        <v>12</v>
      </c>
      <c r="Q11" s="144">
        <f t="shared" si="3"/>
        <v>-14</v>
      </c>
      <c r="R11" s="11">
        <f>O11</f>
        <v>26</v>
      </c>
      <c r="S11" s="152">
        <f>R11*1.15</f>
        <v>29.9</v>
      </c>
      <c r="T11" s="152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89">
        <v>10</v>
      </c>
      <c r="B12" s="89">
        <v>709</v>
      </c>
      <c r="C12" s="141" t="s">
        <v>103</v>
      </c>
      <c r="D12" s="89" t="s">
        <v>104</v>
      </c>
      <c r="E12" s="89" t="s">
        <v>93</v>
      </c>
      <c r="F12" s="122">
        <v>22</v>
      </c>
      <c r="G12" s="122">
        <f t="shared" si="0"/>
        <v>26.4</v>
      </c>
      <c r="H12" s="122">
        <f t="shared" si="1"/>
        <v>26</v>
      </c>
      <c r="I12" s="122">
        <v>32</v>
      </c>
      <c r="J12" s="122">
        <v>17</v>
      </c>
      <c r="K12" s="144">
        <v>5</v>
      </c>
      <c r="L12" s="122">
        <v>101</v>
      </c>
      <c r="M12" s="122">
        <f>L12*1.18</f>
        <v>119.18</v>
      </c>
      <c r="N12" s="122">
        <f t="shared" si="2"/>
        <v>119</v>
      </c>
      <c r="O12" s="144">
        <f>VLOOKUP(B:B,[3]Sheet6!$G$1:$H$65536,2,0)</f>
        <v>17</v>
      </c>
      <c r="P12" s="144">
        <f>VLOOKUP(B:B,'10月'!B:S,18,0)</f>
        <v>18</v>
      </c>
      <c r="Q12" s="144">
        <f t="shared" si="3"/>
        <v>1</v>
      </c>
      <c r="R12" s="11">
        <v>18</v>
      </c>
      <c r="S12" s="152">
        <f>R12*1.2</f>
        <v>21.6</v>
      </c>
      <c r="T12" s="152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89">
        <v>11</v>
      </c>
      <c r="B13" s="89">
        <v>379</v>
      </c>
      <c r="C13" s="141" t="s">
        <v>105</v>
      </c>
      <c r="D13" s="89" t="s">
        <v>104</v>
      </c>
      <c r="E13" s="89" t="s">
        <v>93</v>
      </c>
      <c r="F13" s="122">
        <v>21</v>
      </c>
      <c r="G13" s="122">
        <f t="shared" si="0"/>
        <v>25.2</v>
      </c>
      <c r="H13" s="122">
        <f t="shared" si="1"/>
        <v>25</v>
      </c>
      <c r="I13" s="122">
        <v>21</v>
      </c>
      <c r="J13" s="122">
        <v>17</v>
      </c>
      <c r="K13" s="144">
        <v>4</v>
      </c>
      <c r="L13" s="122">
        <v>100</v>
      </c>
      <c r="M13" s="122">
        <f>L13*1.18</f>
        <v>118</v>
      </c>
      <c r="N13" s="122">
        <f t="shared" si="2"/>
        <v>118</v>
      </c>
      <c r="O13" s="144">
        <f>VLOOKUP(B:B,[3]Sheet6!$G$1:$H$65536,2,0)</f>
        <v>12</v>
      </c>
      <c r="P13" s="144">
        <f>VLOOKUP(B:B,'10月'!B:S,18,0)</f>
        <v>6</v>
      </c>
      <c r="Q13" s="144">
        <f t="shared" si="3"/>
        <v>-6</v>
      </c>
      <c r="R13" s="11">
        <f>O13</f>
        <v>12</v>
      </c>
      <c r="S13" s="152">
        <f>R13*1.2</f>
        <v>14.4</v>
      </c>
      <c r="T13" s="152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89">
        <v>12</v>
      </c>
      <c r="B14" s="89">
        <v>745</v>
      </c>
      <c r="C14" s="141" t="s">
        <v>106</v>
      </c>
      <c r="D14" s="89" t="s">
        <v>107</v>
      </c>
      <c r="E14" s="89" t="s">
        <v>93</v>
      </c>
      <c r="F14" s="122">
        <v>12</v>
      </c>
      <c r="G14" s="122">
        <f>F14*1.3</f>
        <v>15.6</v>
      </c>
      <c r="H14" s="122">
        <f t="shared" si="1"/>
        <v>16</v>
      </c>
      <c r="I14" s="122">
        <v>2</v>
      </c>
      <c r="J14" s="122">
        <v>17</v>
      </c>
      <c r="K14" s="144">
        <v>-5</v>
      </c>
      <c r="L14" s="122">
        <v>108</v>
      </c>
      <c r="M14" s="122">
        <f>L14*1.18</f>
        <v>127.44</v>
      </c>
      <c r="N14" s="122">
        <f t="shared" si="2"/>
        <v>127</v>
      </c>
      <c r="O14" s="144">
        <f>VLOOKUP(B:B,[3]Sheet6!$G$1:$H$65536,2,0)</f>
        <v>16</v>
      </c>
      <c r="P14" s="144">
        <f>VLOOKUP(B:B,'10月'!B:S,18,0)</f>
        <v>2</v>
      </c>
      <c r="Q14" s="144">
        <f t="shared" si="3"/>
        <v>-14</v>
      </c>
      <c r="R14" s="11">
        <f>O14</f>
        <v>16</v>
      </c>
      <c r="S14" s="152">
        <f>R14*1.2</f>
        <v>19.2</v>
      </c>
      <c r="T14" s="152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89">
        <v>13</v>
      </c>
      <c r="B15" s="89">
        <v>347</v>
      </c>
      <c r="C15" s="141" t="s">
        <v>108</v>
      </c>
      <c r="D15" s="89" t="s">
        <v>109</v>
      </c>
      <c r="E15" s="89" t="s">
        <v>93</v>
      </c>
      <c r="F15" s="122">
        <v>12</v>
      </c>
      <c r="G15" s="122">
        <f>F15*1.3</f>
        <v>15.6</v>
      </c>
      <c r="H15" s="122">
        <f t="shared" si="1"/>
        <v>16</v>
      </c>
      <c r="I15" s="122">
        <v>3</v>
      </c>
      <c r="J15" s="122">
        <v>17</v>
      </c>
      <c r="K15" s="144">
        <v>-5</v>
      </c>
      <c r="L15" s="122">
        <v>108</v>
      </c>
      <c r="M15" s="122">
        <f>L15*1.18</f>
        <v>127.44</v>
      </c>
      <c r="N15" s="122">
        <f t="shared" si="2"/>
        <v>127</v>
      </c>
      <c r="O15" s="144">
        <f>VLOOKUP(B:B,[3]Sheet6!$G$1:$H$65536,2,0)</f>
        <v>14</v>
      </c>
      <c r="P15" s="144">
        <f>VLOOKUP(B:B,'10月'!B:S,18,0)</f>
        <v>7</v>
      </c>
      <c r="Q15" s="144">
        <f t="shared" si="3"/>
        <v>-7</v>
      </c>
      <c r="R15" s="11">
        <f>O15</f>
        <v>14</v>
      </c>
      <c r="S15" s="152">
        <f t="shared" ref="S15:S20" si="8">R15*1.2</f>
        <v>16.8</v>
      </c>
      <c r="T15" s="152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89">
        <v>14</v>
      </c>
      <c r="B16" s="89">
        <v>727</v>
      </c>
      <c r="C16" s="141" t="s">
        <v>110</v>
      </c>
      <c r="D16" s="89" t="s">
        <v>107</v>
      </c>
      <c r="E16" s="89" t="s">
        <v>93</v>
      </c>
      <c r="F16" s="122">
        <v>4</v>
      </c>
      <c r="G16" s="122">
        <f>F16*1.4</f>
        <v>5.6</v>
      </c>
      <c r="H16" s="122">
        <f t="shared" si="1"/>
        <v>6</v>
      </c>
      <c r="I16" s="122">
        <v>3</v>
      </c>
      <c r="J16" s="122">
        <v>6</v>
      </c>
      <c r="K16" s="144">
        <v>-2</v>
      </c>
      <c r="L16" s="122">
        <v>72</v>
      </c>
      <c r="M16" s="123">
        <f t="shared" ref="M16:M25" si="9">L16*1.3</f>
        <v>93.6</v>
      </c>
      <c r="N16" s="122">
        <f t="shared" si="2"/>
        <v>94</v>
      </c>
      <c r="O16" s="144">
        <f>VLOOKUP(B:B,[3]Sheet6!$G$1:$H$65536,2,0)</f>
        <v>4</v>
      </c>
      <c r="P16" s="144">
        <f>VLOOKUP(B:B,'10月'!B:S,18,0)</f>
        <v>4</v>
      </c>
      <c r="Q16" s="144">
        <f t="shared" si="3"/>
        <v>0</v>
      </c>
      <c r="R16" s="11">
        <v>4</v>
      </c>
      <c r="S16" s="152">
        <f>R16*1.4</f>
        <v>5.6</v>
      </c>
      <c r="T16" s="152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89">
        <v>15</v>
      </c>
      <c r="B17" s="89">
        <v>339</v>
      </c>
      <c r="C17" s="141" t="s">
        <v>111</v>
      </c>
      <c r="D17" s="89" t="s">
        <v>109</v>
      </c>
      <c r="E17" s="89" t="s">
        <v>93</v>
      </c>
      <c r="F17" s="122">
        <v>17</v>
      </c>
      <c r="G17" s="122">
        <f>F17*1.3</f>
        <v>22.1</v>
      </c>
      <c r="H17" s="122">
        <f t="shared" si="1"/>
        <v>22</v>
      </c>
      <c r="I17" s="122">
        <v>15</v>
      </c>
      <c r="J17" s="122">
        <v>17</v>
      </c>
      <c r="K17" s="144">
        <v>0</v>
      </c>
      <c r="L17" s="122">
        <v>76</v>
      </c>
      <c r="M17" s="123">
        <f t="shared" si="9"/>
        <v>98.8</v>
      </c>
      <c r="N17" s="122">
        <f t="shared" si="2"/>
        <v>99</v>
      </c>
      <c r="O17" s="144">
        <f>VLOOKUP(B:B,[3]Sheet6!$G$1:$H$65536,2,0)</f>
        <v>11</v>
      </c>
      <c r="P17" s="144">
        <f>VLOOKUP(B:B,'10月'!B:S,18,0)</f>
        <v>8</v>
      </c>
      <c r="Q17" s="144">
        <f t="shared" si="3"/>
        <v>-3</v>
      </c>
      <c r="R17" s="11">
        <f>O17</f>
        <v>11</v>
      </c>
      <c r="S17" s="152">
        <f t="shared" si="8"/>
        <v>13.2</v>
      </c>
      <c r="T17" s="152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89">
        <v>16</v>
      </c>
      <c r="B18" s="90">
        <v>752</v>
      </c>
      <c r="C18" s="142" t="s">
        <v>112</v>
      </c>
      <c r="D18" s="90" t="s">
        <v>113</v>
      </c>
      <c r="E18" s="90" t="s">
        <v>93</v>
      </c>
      <c r="F18" s="122">
        <v>4</v>
      </c>
      <c r="G18" s="122">
        <f>F18*1.4</f>
        <v>5.6</v>
      </c>
      <c r="H18" s="122">
        <f t="shared" si="1"/>
        <v>6</v>
      </c>
      <c r="I18" s="122" t="e">
        <v>#N/A</v>
      </c>
      <c r="J18" s="122">
        <v>6</v>
      </c>
      <c r="K18" s="144">
        <v>-2</v>
      </c>
      <c r="L18" s="122">
        <v>40</v>
      </c>
      <c r="M18" s="123">
        <f t="shared" si="9"/>
        <v>52</v>
      </c>
      <c r="N18" s="122">
        <f t="shared" si="2"/>
        <v>52</v>
      </c>
      <c r="O18" s="144">
        <f>VLOOKUP(B:B,[3]Sheet6!$G$1:$H$65536,2,0)</f>
        <v>9</v>
      </c>
      <c r="P18" s="144">
        <f>VLOOKUP(B:B,'10月'!B:S,18,0)</f>
        <v>5</v>
      </c>
      <c r="Q18" s="144">
        <f t="shared" si="3"/>
        <v>-4</v>
      </c>
      <c r="R18" s="11">
        <f>O18</f>
        <v>9</v>
      </c>
      <c r="S18" s="152">
        <f>R18*1.4</f>
        <v>12.6</v>
      </c>
      <c r="T18" s="152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89">
        <v>17</v>
      </c>
      <c r="B19" s="89">
        <v>741</v>
      </c>
      <c r="C19" s="141" t="s">
        <v>114</v>
      </c>
      <c r="D19" s="89" t="s">
        <v>113</v>
      </c>
      <c r="E19" s="89" t="s">
        <v>93</v>
      </c>
      <c r="F19" s="122">
        <v>10</v>
      </c>
      <c r="G19" s="122">
        <f>F19*1.3</f>
        <v>13</v>
      </c>
      <c r="H19" s="122">
        <f t="shared" si="1"/>
        <v>13</v>
      </c>
      <c r="I19" s="122">
        <v>10</v>
      </c>
      <c r="J19" s="122">
        <v>6</v>
      </c>
      <c r="K19" s="144">
        <v>4</v>
      </c>
      <c r="L19" s="122">
        <v>81</v>
      </c>
      <c r="M19" s="123">
        <f t="shared" si="9"/>
        <v>105.3</v>
      </c>
      <c r="N19" s="122">
        <f t="shared" si="2"/>
        <v>105</v>
      </c>
      <c r="O19" s="144" t="e">
        <f>VLOOKUP(B:B,[3]Sheet6!$G$1:$H$65536,2,0)</f>
        <v>#N/A</v>
      </c>
      <c r="P19" s="144">
        <f>VLOOKUP(B:B,'10月'!B:S,18,0)</f>
        <v>4</v>
      </c>
      <c r="Q19" s="144" t="e">
        <f t="shared" si="3"/>
        <v>#N/A</v>
      </c>
      <c r="R19" s="11">
        <v>4</v>
      </c>
      <c r="S19" s="152">
        <f>R19*1.4</f>
        <v>5.6</v>
      </c>
      <c r="T19" s="152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89">
        <v>18</v>
      </c>
      <c r="B20" s="89">
        <v>357</v>
      </c>
      <c r="C20" s="141" t="s">
        <v>115</v>
      </c>
      <c r="D20" s="89" t="s">
        <v>104</v>
      </c>
      <c r="E20" s="89" t="s">
        <v>93</v>
      </c>
      <c r="F20" s="122">
        <v>22</v>
      </c>
      <c r="G20" s="122">
        <f>F20*1.2</f>
        <v>26.4</v>
      </c>
      <c r="H20" s="122">
        <f t="shared" si="1"/>
        <v>26</v>
      </c>
      <c r="I20" s="122">
        <v>23</v>
      </c>
      <c r="J20" s="122">
        <v>17</v>
      </c>
      <c r="K20" s="144">
        <v>5</v>
      </c>
      <c r="L20" s="122">
        <v>54</v>
      </c>
      <c r="M20" s="123">
        <f t="shared" si="9"/>
        <v>70.2</v>
      </c>
      <c r="N20" s="122">
        <f t="shared" si="2"/>
        <v>70</v>
      </c>
      <c r="O20" s="144">
        <f>VLOOKUP(B:B,[3]Sheet6!$G$1:$H$65536,2,0)</f>
        <v>5</v>
      </c>
      <c r="P20" s="144">
        <f>VLOOKUP(B:B,'10月'!B:S,18,0)</f>
        <v>18</v>
      </c>
      <c r="Q20" s="144">
        <f t="shared" si="3"/>
        <v>13</v>
      </c>
      <c r="R20" s="11">
        <v>10</v>
      </c>
      <c r="S20" s="152">
        <f t="shared" si="8"/>
        <v>12</v>
      </c>
      <c r="T20" s="152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89">
        <v>19</v>
      </c>
      <c r="B21" s="89">
        <v>570</v>
      </c>
      <c r="C21" s="141" t="s">
        <v>116</v>
      </c>
      <c r="D21" s="89" t="s">
        <v>107</v>
      </c>
      <c r="E21" s="89" t="s">
        <v>93</v>
      </c>
      <c r="F21" s="122">
        <v>18</v>
      </c>
      <c r="G21" s="122">
        <f>F21*1.3</f>
        <v>23.4</v>
      </c>
      <c r="H21" s="122">
        <f t="shared" si="1"/>
        <v>23</v>
      </c>
      <c r="I21" s="122">
        <v>30</v>
      </c>
      <c r="J21" s="122">
        <v>6</v>
      </c>
      <c r="K21" s="144">
        <v>12</v>
      </c>
      <c r="L21" s="122">
        <v>71</v>
      </c>
      <c r="M21" s="123">
        <f t="shared" si="9"/>
        <v>92.3</v>
      </c>
      <c r="N21" s="122">
        <f t="shared" si="2"/>
        <v>92</v>
      </c>
      <c r="O21" s="144">
        <f>VLOOKUP(B:B,[3]Sheet6!$G$1:$H$65536,2,0)</f>
        <v>2</v>
      </c>
      <c r="P21" s="144">
        <f>VLOOKUP(B:B,'10月'!B:S,18,0)</f>
        <v>5</v>
      </c>
      <c r="Q21" s="144">
        <f t="shared" si="3"/>
        <v>3</v>
      </c>
      <c r="R21" s="11">
        <v>5</v>
      </c>
      <c r="S21" s="152">
        <f>R21*1.4</f>
        <v>7</v>
      </c>
      <c r="T21" s="152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89">
        <v>20</v>
      </c>
      <c r="B22" s="89">
        <v>311</v>
      </c>
      <c r="C22" s="141" t="s">
        <v>117</v>
      </c>
      <c r="D22" s="89" t="s">
        <v>107</v>
      </c>
      <c r="E22" s="89" t="s">
        <v>93</v>
      </c>
      <c r="F22" s="122">
        <v>15</v>
      </c>
      <c r="G22" s="122">
        <f>F22*1.3</f>
        <v>19.5</v>
      </c>
      <c r="H22" s="122">
        <f t="shared" si="1"/>
        <v>20</v>
      </c>
      <c r="I22" s="122">
        <v>7</v>
      </c>
      <c r="J22" s="122">
        <v>24</v>
      </c>
      <c r="K22" s="144">
        <v>-9</v>
      </c>
      <c r="L22" s="122">
        <v>30</v>
      </c>
      <c r="M22" s="123">
        <f t="shared" si="9"/>
        <v>39</v>
      </c>
      <c r="N22" s="122">
        <f t="shared" si="2"/>
        <v>39</v>
      </c>
      <c r="O22" s="144">
        <f>VLOOKUP(B:B,[3]Sheet6!$G$1:$H$65536,2,0)</f>
        <v>3</v>
      </c>
      <c r="P22" s="144">
        <f>VLOOKUP(B:B,'10月'!B:S,18,0)</f>
        <v>4</v>
      </c>
      <c r="Q22" s="144">
        <f t="shared" si="3"/>
        <v>1</v>
      </c>
      <c r="R22" s="11">
        <v>4</v>
      </c>
      <c r="S22" s="152">
        <f>R22*1.4</f>
        <v>5.6</v>
      </c>
      <c r="T22" s="152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89">
        <v>21</v>
      </c>
      <c r="B23" s="91">
        <v>102565</v>
      </c>
      <c r="C23" s="142" t="s">
        <v>118</v>
      </c>
      <c r="D23" s="89" t="s">
        <v>109</v>
      </c>
      <c r="E23" s="89" t="s">
        <v>93</v>
      </c>
      <c r="F23" s="122">
        <v>4</v>
      </c>
      <c r="G23" s="122">
        <f>F23*1.4</f>
        <v>5.6</v>
      </c>
      <c r="H23" s="122">
        <f t="shared" si="1"/>
        <v>6</v>
      </c>
      <c r="I23" s="122">
        <v>1</v>
      </c>
      <c r="J23" s="122">
        <v>6</v>
      </c>
      <c r="K23" s="144">
        <v>-2</v>
      </c>
      <c r="L23" s="122">
        <v>74</v>
      </c>
      <c r="M23" s="123">
        <f t="shared" si="9"/>
        <v>96.2</v>
      </c>
      <c r="N23" s="122">
        <f t="shared" si="2"/>
        <v>96</v>
      </c>
      <c r="O23" s="144">
        <f>VLOOKUP(B:B,[3]Sheet6!$G$1:$H$65536,2,0)</f>
        <v>5</v>
      </c>
      <c r="P23" s="144">
        <f>VLOOKUP(B:B,'10月'!B:S,18,0)</f>
        <v>4</v>
      </c>
      <c r="Q23" s="144">
        <f t="shared" si="3"/>
        <v>-1</v>
      </c>
      <c r="R23" s="11">
        <f>O23</f>
        <v>5</v>
      </c>
      <c r="S23" s="152">
        <f>R23*1.4</f>
        <v>7</v>
      </c>
      <c r="T23" s="152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89">
        <v>22</v>
      </c>
      <c r="B24" s="91">
        <v>103198</v>
      </c>
      <c r="C24" s="142" t="s">
        <v>119</v>
      </c>
      <c r="D24" s="89" t="s">
        <v>109</v>
      </c>
      <c r="E24" s="89" t="s">
        <v>93</v>
      </c>
      <c r="F24" s="122">
        <v>8</v>
      </c>
      <c r="G24" s="122">
        <f>F24*1.4</f>
        <v>11.2</v>
      </c>
      <c r="H24" s="122">
        <f t="shared" si="1"/>
        <v>11</v>
      </c>
      <c r="I24" s="122">
        <v>8</v>
      </c>
      <c r="J24" s="122">
        <v>6</v>
      </c>
      <c r="K24" s="144">
        <v>2</v>
      </c>
      <c r="L24" s="122">
        <v>74</v>
      </c>
      <c r="M24" s="123">
        <f t="shared" si="9"/>
        <v>96.2</v>
      </c>
      <c r="N24" s="122">
        <f t="shared" si="2"/>
        <v>96</v>
      </c>
      <c r="O24" s="144">
        <f>VLOOKUP(B:B,[3]Sheet6!$G$1:$H$65536,2,0)</f>
        <v>7</v>
      </c>
      <c r="P24" s="144">
        <f>VLOOKUP(B:B,'10月'!B:S,18,0)</f>
        <v>7</v>
      </c>
      <c r="Q24" s="144">
        <f t="shared" si="3"/>
        <v>0</v>
      </c>
      <c r="R24" s="11">
        <v>8</v>
      </c>
      <c r="S24" s="152">
        <f>R24*1.4</f>
        <v>11.2</v>
      </c>
      <c r="T24" s="152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89">
        <v>23</v>
      </c>
      <c r="B25" s="91">
        <v>103199</v>
      </c>
      <c r="C25" s="142" t="s">
        <v>120</v>
      </c>
      <c r="D25" s="89" t="s">
        <v>109</v>
      </c>
      <c r="E25" s="89" t="s">
        <v>93</v>
      </c>
      <c r="F25" s="122">
        <v>4</v>
      </c>
      <c r="G25" s="122">
        <f>F25*1.4</f>
        <v>5.6</v>
      </c>
      <c r="H25" s="122">
        <f t="shared" si="1"/>
        <v>6</v>
      </c>
      <c r="I25" s="122">
        <v>2</v>
      </c>
      <c r="J25" s="122">
        <v>6</v>
      </c>
      <c r="K25" s="144">
        <v>-2</v>
      </c>
      <c r="L25" s="122">
        <v>74</v>
      </c>
      <c r="M25" s="123">
        <f t="shared" si="9"/>
        <v>96.2</v>
      </c>
      <c r="N25" s="122">
        <f t="shared" si="2"/>
        <v>96</v>
      </c>
      <c r="O25" s="144">
        <f>VLOOKUP(B:B,[3]Sheet6!$G$1:$H$65536,2,0)</f>
        <v>6</v>
      </c>
      <c r="P25" s="144">
        <f>VLOOKUP(B:B,'10月'!B:S,18,0)</f>
        <v>2</v>
      </c>
      <c r="Q25" s="144">
        <f t="shared" si="3"/>
        <v>-4</v>
      </c>
      <c r="R25" s="11">
        <f>O25</f>
        <v>6</v>
      </c>
      <c r="S25" s="152">
        <f>R25*1.4</f>
        <v>8.4</v>
      </c>
      <c r="T25" s="152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89">
        <v>24</v>
      </c>
      <c r="B26" s="91">
        <v>102934</v>
      </c>
      <c r="C26" s="142" t="s">
        <v>121</v>
      </c>
      <c r="D26" s="89" t="s">
        <v>92</v>
      </c>
      <c r="E26" s="89" t="s">
        <v>93</v>
      </c>
      <c r="F26" s="122">
        <v>20</v>
      </c>
      <c r="G26" s="122">
        <f>F26*1.2</f>
        <v>24</v>
      </c>
      <c r="H26" s="122">
        <f t="shared" si="1"/>
        <v>24</v>
      </c>
      <c r="I26" s="122">
        <v>16</v>
      </c>
      <c r="J26" s="122">
        <v>24</v>
      </c>
      <c r="K26" s="144">
        <v>-4</v>
      </c>
      <c r="L26" s="122">
        <v>104</v>
      </c>
      <c r="M26" s="122">
        <f>L26*1.18</f>
        <v>122.72</v>
      </c>
      <c r="N26" s="122">
        <f t="shared" si="2"/>
        <v>123</v>
      </c>
      <c r="O26" s="144">
        <f>VLOOKUP(B:B,[3]Sheet6!$G$1:$H$65536,2,0)</f>
        <v>21</v>
      </c>
      <c r="P26" s="144">
        <f>VLOOKUP(B:B,'10月'!B:S,18,0)</f>
        <v>22</v>
      </c>
      <c r="Q26" s="144">
        <f t="shared" si="3"/>
        <v>1</v>
      </c>
      <c r="R26" s="11">
        <v>22</v>
      </c>
      <c r="S26" s="152">
        <f>R26*1.15</f>
        <v>25.3</v>
      </c>
      <c r="T26" s="152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89">
        <v>25</v>
      </c>
      <c r="B27" s="91">
        <v>104429</v>
      </c>
      <c r="C27" s="143" t="s">
        <v>122</v>
      </c>
      <c r="D27" s="92"/>
      <c r="E27" s="91" t="str">
        <f>VLOOKUP(B:B,[2]查询时间段分门店销售汇总!$D$1:$H$65536,5,0)</f>
        <v>西北片区</v>
      </c>
      <c r="F27" s="122">
        <v>6</v>
      </c>
      <c r="G27" s="122">
        <f>F27*1.4</f>
        <v>8.4</v>
      </c>
      <c r="H27" s="122">
        <f t="shared" si="1"/>
        <v>8</v>
      </c>
      <c r="I27" s="122">
        <v>6</v>
      </c>
      <c r="J27" s="122" t="e">
        <v>#N/A</v>
      </c>
      <c r="K27" s="144" t="e">
        <v>#N/A</v>
      </c>
      <c r="L27" s="122">
        <v>40</v>
      </c>
      <c r="M27" s="123">
        <f>L27*1.3</f>
        <v>52</v>
      </c>
      <c r="N27" s="122">
        <f t="shared" si="2"/>
        <v>52</v>
      </c>
      <c r="O27" s="144">
        <f>VLOOKUP(B:B,[3]Sheet6!$G$1:$H$65536,2,0)</f>
        <v>2</v>
      </c>
      <c r="P27" s="144" t="e">
        <f>VLOOKUP(B:B,'10月'!B:S,18,0)</f>
        <v>#N/A</v>
      </c>
      <c r="Q27" s="144" t="e">
        <f t="shared" si="3"/>
        <v>#N/A</v>
      </c>
      <c r="R27" s="11">
        <f>O27</f>
        <v>2</v>
      </c>
      <c r="S27" s="152">
        <f>R27*1.4</f>
        <v>2.8</v>
      </c>
      <c r="T27" s="152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89">
        <v>26</v>
      </c>
      <c r="B28" s="89">
        <v>307</v>
      </c>
      <c r="C28" s="141" t="s">
        <v>123</v>
      </c>
      <c r="D28" s="89" t="s">
        <v>124</v>
      </c>
      <c r="E28" s="89" t="s">
        <v>125</v>
      </c>
      <c r="F28" s="122">
        <v>151</v>
      </c>
      <c r="G28" s="122">
        <f>F28*1.1</f>
        <v>166.1</v>
      </c>
      <c r="H28" s="122">
        <f t="shared" si="1"/>
        <v>166</v>
      </c>
      <c r="I28" s="122">
        <v>149</v>
      </c>
      <c r="J28" s="122">
        <v>151</v>
      </c>
      <c r="K28" s="144">
        <v>0</v>
      </c>
      <c r="L28" s="122">
        <v>540</v>
      </c>
      <c r="M28" s="122">
        <f>L28*1.05</f>
        <v>567</v>
      </c>
      <c r="N28" s="122">
        <f t="shared" si="2"/>
        <v>567</v>
      </c>
      <c r="O28" s="144">
        <f>VLOOKUP(B:B,[3]Sheet6!$G$1:$H$65536,2,0)</f>
        <v>144</v>
      </c>
      <c r="P28" s="144">
        <f>VLOOKUP(B:B,'10月'!B:S,18,0)</f>
        <v>111</v>
      </c>
      <c r="Q28" s="144">
        <f t="shared" si="3"/>
        <v>-33</v>
      </c>
      <c r="R28" s="11">
        <v>131</v>
      </c>
      <c r="S28" s="152">
        <f>R28*1.15</f>
        <v>150.65</v>
      </c>
      <c r="T28" s="152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89">
        <v>27</v>
      </c>
      <c r="B29" s="89">
        <v>712</v>
      </c>
      <c r="C29" s="141" t="s">
        <v>126</v>
      </c>
      <c r="D29" s="89" t="s">
        <v>92</v>
      </c>
      <c r="E29" s="89" t="s">
        <v>127</v>
      </c>
      <c r="F29" s="122">
        <v>24</v>
      </c>
      <c r="G29" s="122">
        <f t="shared" ref="G29:G35" si="11">F29*1.2</f>
        <v>28.8</v>
      </c>
      <c r="H29" s="122">
        <f t="shared" si="1"/>
        <v>29</v>
      </c>
      <c r="I29" s="122">
        <v>17</v>
      </c>
      <c r="J29" s="122">
        <v>27</v>
      </c>
      <c r="K29" s="144">
        <v>-3</v>
      </c>
      <c r="L29" s="122">
        <v>359</v>
      </c>
      <c r="M29" s="122">
        <f>L29*1.08</f>
        <v>387.72</v>
      </c>
      <c r="N29" s="122">
        <f t="shared" si="2"/>
        <v>388</v>
      </c>
      <c r="O29" s="144">
        <f>VLOOKUP(B:B,[3]Sheet6!$G$1:$H$65536,2,0)</f>
        <v>14</v>
      </c>
      <c r="P29" s="144">
        <f>VLOOKUP(B:B,'10月'!B:S,18,0)</f>
        <v>6</v>
      </c>
      <c r="Q29" s="144">
        <f t="shared" si="3"/>
        <v>-8</v>
      </c>
      <c r="R29" s="11">
        <f>O29</f>
        <v>14</v>
      </c>
      <c r="S29" s="152">
        <f>R29*1.2</f>
        <v>16.8</v>
      </c>
      <c r="T29" s="152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89">
        <v>28</v>
      </c>
      <c r="B30" s="89">
        <v>571</v>
      </c>
      <c r="C30" s="141" t="s">
        <v>128</v>
      </c>
      <c r="D30" s="89" t="s">
        <v>92</v>
      </c>
      <c r="E30" s="89" t="s">
        <v>127</v>
      </c>
      <c r="F30" s="122">
        <v>30</v>
      </c>
      <c r="G30" s="122">
        <f t="shared" si="11"/>
        <v>36</v>
      </c>
      <c r="H30" s="122">
        <f t="shared" si="1"/>
        <v>36</v>
      </c>
      <c r="I30" s="122">
        <v>33</v>
      </c>
      <c r="J30" s="122">
        <v>27</v>
      </c>
      <c r="K30" s="144">
        <v>3</v>
      </c>
      <c r="L30" s="122">
        <v>380</v>
      </c>
      <c r="M30" s="122">
        <f>L30*1.07</f>
        <v>406.6</v>
      </c>
      <c r="N30" s="122">
        <f t="shared" si="2"/>
        <v>407</v>
      </c>
      <c r="O30" s="144">
        <f>VLOOKUP(B:B,[3]Sheet6!$G$1:$H$65536,2,0)</f>
        <v>24</v>
      </c>
      <c r="P30" s="144">
        <f>VLOOKUP(B:B,'10月'!B:S,18,0)</f>
        <v>11</v>
      </c>
      <c r="Q30" s="144">
        <f t="shared" si="3"/>
        <v>-13</v>
      </c>
      <c r="R30" s="11">
        <v>21</v>
      </c>
      <c r="S30" s="152">
        <f>R30*1.15</f>
        <v>24.15</v>
      </c>
      <c r="T30" s="152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89">
        <v>29</v>
      </c>
      <c r="B31" s="89">
        <v>750</v>
      </c>
      <c r="C31" s="141" t="s">
        <v>129</v>
      </c>
      <c r="D31" s="89" t="s">
        <v>92</v>
      </c>
      <c r="E31" s="89" t="s">
        <v>127</v>
      </c>
      <c r="F31" s="122">
        <v>24</v>
      </c>
      <c r="G31" s="122">
        <f t="shared" si="11"/>
        <v>28.8</v>
      </c>
      <c r="H31" s="122">
        <f t="shared" si="1"/>
        <v>29</v>
      </c>
      <c r="I31" s="122">
        <v>15</v>
      </c>
      <c r="J31" s="122">
        <v>27</v>
      </c>
      <c r="K31" s="144">
        <v>-3</v>
      </c>
      <c r="L31" s="122">
        <v>251</v>
      </c>
      <c r="M31" s="122">
        <f>L31*1.09</f>
        <v>273.59</v>
      </c>
      <c r="N31" s="122">
        <f t="shared" si="2"/>
        <v>274</v>
      </c>
      <c r="O31" s="144">
        <f>VLOOKUP(B:B,[3]Sheet6!$G$1:$H$65536,2,0)</f>
        <v>25</v>
      </c>
      <c r="P31" s="144">
        <f>VLOOKUP(B:B,'10月'!B:S,18,0)</f>
        <v>29</v>
      </c>
      <c r="Q31" s="144">
        <f t="shared" si="3"/>
        <v>4</v>
      </c>
      <c r="R31" s="11">
        <v>29</v>
      </c>
      <c r="S31" s="152">
        <f>R31*1.15</f>
        <v>33.35</v>
      </c>
      <c r="T31" s="152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89">
        <v>30</v>
      </c>
      <c r="B32" s="89">
        <v>707</v>
      </c>
      <c r="C32" s="141" t="s">
        <v>130</v>
      </c>
      <c r="D32" s="89" t="s">
        <v>95</v>
      </c>
      <c r="E32" s="89" t="s">
        <v>127</v>
      </c>
      <c r="F32" s="122">
        <v>24</v>
      </c>
      <c r="G32" s="122">
        <f t="shared" si="11"/>
        <v>28.8</v>
      </c>
      <c r="H32" s="122">
        <f t="shared" si="1"/>
        <v>29</v>
      </c>
      <c r="I32" s="122">
        <v>15</v>
      </c>
      <c r="J32" s="122">
        <v>27</v>
      </c>
      <c r="K32" s="144">
        <v>-3</v>
      </c>
      <c r="L32" s="122">
        <v>218</v>
      </c>
      <c r="M32" s="122">
        <f>L32*1.09</f>
        <v>237.62</v>
      </c>
      <c r="N32" s="122">
        <f t="shared" si="2"/>
        <v>238</v>
      </c>
      <c r="O32" s="144">
        <f>VLOOKUP(B:B,[3]Sheet6!$G$1:$H$65536,2,0)</f>
        <v>16</v>
      </c>
      <c r="P32" s="144">
        <f>VLOOKUP(B:B,'10月'!B:S,18,0)</f>
        <v>9</v>
      </c>
      <c r="Q32" s="144">
        <f t="shared" si="3"/>
        <v>-7</v>
      </c>
      <c r="R32" s="11">
        <f>O32</f>
        <v>16</v>
      </c>
      <c r="S32" s="152">
        <f>R32*1.2</f>
        <v>19.2</v>
      </c>
      <c r="T32" s="152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89">
        <v>31</v>
      </c>
      <c r="B33" s="89">
        <v>387</v>
      </c>
      <c r="C33" s="141" t="s">
        <v>131</v>
      </c>
      <c r="D33" s="89" t="s">
        <v>92</v>
      </c>
      <c r="E33" s="89" t="s">
        <v>127</v>
      </c>
      <c r="F33" s="122">
        <v>20</v>
      </c>
      <c r="G33" s="122">
        <f t="shared" si="11"/>
        <v>24</v>
      </c>
      <c r="H33" s="122">
        <f t="shared" si="1"/>
        <v>24</v>
      </c>
      <c r="I33" s="122">
        <v>11</v>
      </c>
      <c r="J33" s="122">
        <v>27</v>
      </c>
      <c r="K33" s="144">
        <v>-7</v>
      </c>
      <c r="L33" s="122">
        <v>288</v>
      </c>
      <c r="M33" s="122">
        <f>L33*1.09</f>
        <v>313.92</v>
      </c>
      <c r="N33" s="122">
        <f t="shared" si="2"/>
        <v>314</v>
      </c>
      <c r="O33" s="144">
        <f>VLOOKUP(B:B,[3]Sheet6!$G$1:$H$65536,2,0)</f>
        <v>9</v>
      </c>
      <c r="P33" s="144">
        <f>VLOOKUP(B:B,'10月'!B:S,18,0)</f>
        <v>9</v>
      </c>
      <c r="Q33" s="144">
        <f t="shared" si="3"/>
        <v>0</v>
      </c>
      <c r="R33" s="11">
        <v>9</v>
      </c>
      <c r="S33" s="152">
        <f>R33*1.4</f>
        <v>12.6</v>
      </c>
      <c r="T33" s="152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89">
        <v>32</v>
      </c>
      <c r="B34" s="89">
        <v>546</v>
      </c>
      <c r="C34" s="141" t="s">
        <v>132</v>
      </c>
      <c r="D34" s="89" t="s">
        <v>95</v>
      </c>
      <c r="E34" s="89" t="s">
        <v>127</v>
      </c>
      <c r="F34" s="122">
        <v>20</v>
      </c>
      <c r="G34" s="122">
        <f t="shared" si="11"/>
        <v>24</v>
      </c>
      <c r="H34" s="122">
        <f t="shared" si="1"/>
        <v>24</v>
      </c>
      <c r="I34" s="122">
        <v>9</v>
      </c>
      <c r="J34" s="122">
        <v>27</v>
      </c>
      <c r="K34" s="144">
        <v>-7</v>
      </c>
      <c r="L34" s="122">
        <v>335</v>
      </c>
      <c r="M34" s="122">
        <f>L34*1.08</f>
        <v>361.8</v>
      </c>
      <c r="N34" s="122">
        <f t="shared" si="2"/>
        <v>362</v>
      </c>
      <c r="O34" s="144">
        <f>VLOOKUP(B:B,[3]Sheet6!$G$1:$H$65536,2,0)</f>
        <v>13</v>
      </c>
      <c r="P34" s="144">
        <f>VLOOKUP(B:B,'10月'!B:S,18,0)</f>
        <v>11</v>
      </c>
      <c r="Q34" s="144">
        <f t="shared" si="3"/>
        <v>-2</v>
      </c>
      <c r="R34" s="11">
        <f>O34</f>
        <v>13</v>
      </c>
      <c r="S34" s="152">
        <f>R34*1.2</f>
        <v>15.6</v>
      </c>
      <c r="T34" s="152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89">
        <v>33</v>
      </c>
      <c r="B35" s="89">
        <v>724</v>
      </c>
      <c r="C35" s="141" t="s">
        <v>133</v>
      </c>
      <c r="D35" s="89" t="s">
        <v>95</v>
      </c>
      <c r="E35" s="89" t="s">
        <v>127</v>
      </c>
      <c r="F35" s="122">
        <v>20</v>
      </c>
      <c r="G35" s="122">
        <f t="shared" si="11"/>
        <v>24</v>
      </c>
      <c r="H35" s="122">
        <f t="shared" si="1"/>
        <v>24</v>
      </c>
      <c r="I35" s="122">
        <v>20</v>
      </c>
      <c r="J35" s="122">
        <v>20</v>
      </c>
      <c r="K35" s="144">
        <v>0</v>
      </c>
      <c r="L35" s="122">
        <v>223</v>
      </c>
      <c r="M35" s="122">
        <f>L35*1.09</f>
        <v>243.07</v>
      </c>
      <c r="N35" s="122">
        <f t="shared" si="2"/>
        <v>243</v>
      </c>
      <c r="O35" s="144">
        <f>VLOOKUP(B:B,[3]Sheet6!$G$1:$H$65536,2,0)</f>
        <v>10</v>
      </c>
      <c r="P35" s="144">
        <f>VLOOKUP(B:B,'10月'!B:S,18,0)</f>
        <v>9</v>
      </c>
      <c r="Q35" s="144">
        <f t="shared" si="3"/>
        <v>-1</v>
      </c>
      <c r="R35" s="11">
        <f>O35</f>
        <v>10</v>
      </c>
      <c r="S35" s="152">
        <f>R35*1.4</f>
        <v>14</v>
      </c>
      <c r="T35" s="152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89">
        <v>34</v>
      </c>
      <c r="B36" s="89">
        <v>598</v>
      </c>
      <c r="C36" s="141" t="s">
        <v>134</v>
      </c>
      <c r="D36" s="89" t="s">
        <v>104</v>
      </c>
      <c r="E36" s="89" t="s">
        <v>127</v>
      </c>
      <c r="F36" s="122">
        <v>14</v>
      </c>
      <c r="G36" s="122">
        <f>F36*1.3</f>
        <v>18.2</v>
      </c>
      <c r="H36" s="122">
        <f t="shared" ref="H36:H67" si="12">ROUND(G36,0)</f>
        <v>18</v>
      </c>
      <c r="I36" s="122">
        <v>9</v>
      </c>
      <c r="J36" s="122">
        <v>17</v>
      </c>
      <c r="K36" s="144">
        <v>-3</v>
      </c>
      <c r="L36" s="122">
        <v>246</v>
      </c>
      <c r="M36" s="122">
        <f>L36*1.09</f>
        <v>268.14</v>
      </c>
      <c r="N36" s="122">
        <f t="shared" ref="N36:N67" si="13">ROUND(M36,0)</f>
        <v>268</v>
      </c>
      <c r="O36" s="144">
        <f>VLOOKUP(B:B,[3]Sheet6!$G$1:$H$65536,2,0)</f>
        <v>18</v>
      </c>
      <c r="P36" s="144">
        <f>VLOOKUP(B:B,'10月'!B:S,18,0)</f>
        <v>10</v>
      </c>
      <c r="Q36" s="144">
        <f t="shared" ref="Q36:Q67" si="14">P36-O36</f>
        <v>-8</v>
      </c>
      <c r="R36" s="11">
        <f>O36</f>
        <v>18</v>
      </c>
      <c r="S36" s="152">
        <f>R36*1.2</f>
        <v>21.6</v>
      </c>
      <c r="T36" s="152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89">
        <v>35</v>
      </c>
      <c r="B37" s="89">
        <v>399</v>
      </c>
      <c r="C37" s="141" t="s">
        <v>135</v>
      </c>
      <c r="D37" s="89" t="s">
        <v>104</v>
      </c>
      <c r="E37" s="89" t="s">
        <v>127</v>
      </c>
      <c r="F37" s="122">
        <v>14</v>
      </c>
      <c r="G37" s="122">
        <f>F37*1.3</f>
        <v>18.2</v>
      </c>
      <c r="H37" s="122">
        <f t="shared" si="12"/>
        <v>18</v>
      </c>
      <c r="I37" s="122">
        <v>12</v>
      </c>
      <c r="J37" s="122">
        <v>17</v>
      </c>
      <c r="K37" s="144">
        <v>-3</v>
      </c>
      <c r="L37" s="122">
        <v>203</v>
      </c>
      <c r="M37" s="122">
        <f>L37*1.09</f>
        <v>221.27</v>
      </c>
      <c r="N37" s="122">
        <f t="shared" si="13"/>
        <v>221</v>
      </c>
      <c r="O37" s="144">
        <f>VLOOKUP(B:B,[3]Sheet6!$G$1:$H$65536,2,0)</f>
        <v>19</v>
      </c>
      <c r="P37" s="144">
        <f>VLOOKUP(B:B,'10月'!B:S,18,0)</f>
        <v>11</v>
      </c>
      <c r="Q37" s="144">
        <f t="shared" si="14"/>
        <v>-8</v>
      </c>
      <c r="R37" s="11">
        <f>O37</f>
        <v>19</v>
      </c>
      <c r="S37" s="152">
        <f>R37*1.2</f>
        <v>22.8</v>
      </c>
      <c r="T37" s="152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89">
        <v>36</v>
      </c>
      <c r="B38" s="89">
        <v>573</v>
      </c>
      <c r="C38" s="141" t="s">
        <v>136</v>
      </c>
      <c r="D38" s="89" t="s">
        <v>107</v>
      </c>
      <c r="E38" s="89" t="s">
        <v>127</v>
      </c>
      <c r="F38" s="122">
        <v>7</v>
      </c>
      <c r="G38" s="122">
        <f>F38*1.4</f>
        <v>9.8</v>
      </c>
      <c r="H38" s="122">
        <f t="shared" si="12"/>
        <v>10</v>
      </c>
      <c r="I38" s="122">
        <v>8</v>
      </c>
      <c r="J38" s="122">
        <v>6</v>
      </c>
      <c r="K38" s="144">
        <v>1</v>
      </c>
      <c r="L38" s="122">
        <v>125</v>
      </c>
      <c r="M38" s="122">
        <f>L38*1.18</f>
        <v>147.5</v>
      </c>
      <c r="N38" s="122">
        <f t="shared" si="13"/>
        <v>148</v>
      </c>
      <c r="O38" s="144">
        <f>VLOOKUP(B:B,[3]Sheet6!$G$1:$H$65536,2,0)</f>
        <v>7</v>
      </c>
      <c r="P38" s="144">
        <f>VLOOKUP(B:B,'10月'!B:S,18,0)</f>
        <v>3</v>
      </c>
      <c r="Q38" s="144">
        <f t="shared" si="14"/>
        <v>-4</v>
      </c>
      <c r="R38" s="11">
        <f>O38</f>
        <v>7</v>
      </c>
      <c r="S38" s="152">
        <f>R38*1.4</f>
        <v>9.8</v>
      </c>
      <c r="T38" s="152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89">
        <v>37</v>
      </c>
      <c r="B39" s="89">
        <v>377</v>
      </c>
      <c r="C39" s="141" t="s">
        <v>137</v>
      </c>
      <c r="D39" s="89" t="s">
        <v>104</v>
      </c>
      <c r="E39" s="89" t="s">
        <v>127</v>
      </c>
      <c r="F39" s="122">
        <v>14</v>
      </c>
      <c r="G39" s="122">
        <f>F39*1.3</f>
        <v>18.2</v>
      </c>
      <c r="H39" s="122">
        <f t="shared" si="12"/>
        <v>18</v>
      </c>
      <c r="I39" s="122">
        <v>7</v>
      </c>
      <c r="J39" s="122">
        <v>17</v>
      </c>
      <c r="K39" s="144">
        <v>-3</v>
      </c>
      <c r="L39" s="122">
        <v>220</v>
      </c>
      <c r="M39" s="122">
        <f>L39*1.09</f>
        <v>239.8</v>
      </c>
      <c r="N39" s="122">
        <f t="shared" si="13"/>
        <v>240</v>
      </c>
      <c r="O39" s="144">
        <f>VLOOKUP(B:B,[3]Sheet6!$G$1:$H$65536,2,0)</f>
        <v>7</v>
      </c>
      <c r="P39" s="144">
        <f>VLOOKUP(B:B,'10月'!B:S,18,0)</f>
        <v>9</v>
      </c>
      <c r="Q39" s="144">
        <f t="shared" si="14"/>
        <v>2</v>
      </c>
      <c r="R39" s="11">
        <v>9</v>
      </c>
      <c r="S39" s="152">
        <f>R39*1.4</f>
        <v>12.6</v>
      </c>
      <c r="T39" s="152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89">
        <v>38</v>
      </c>
      <c r="B40" s="89">
        <v>743</v>
      </c>
      <c r="C40" s="141" t="s">
        <v>138</v>
      </c>
      <c r="D40" s="89" t="s">
        <v>139</v>
      </c>
      <c r="E40" s="89" t="s">
        <v>127</v>
      </c>
      <c r="F40" s="122">
        <v>9</v>
      </c>
      <c r="G40" s="122">
        <f>F40*1.4</f>
        <v>12.6</v>
      </c>
      <c r="H40" s="122">
        <f t="shared" si="12"/>
        <v>13</v>
      </c>
      <c r="I40" s="122">
        <v>10</v>
      </c>
      <c r="J40" s="122">
        <v>6</v>
      </c>
      <c r="K40" s="144">
        <v>3</v>
      </c>
      <c r="L40" s="122">
        <v>110</v>
      </c>
      <c r="M40" s="122">
        <f>L40*1.18</f>
        <v>129.8</v>
      </c>
      <c r="N40" s="122">
        <f t="shared" si="13"/>
        <v>130</v>
      </c>
      <c r="O40" s="144">
        <f>VLOOKUP(B:B,[3]Sheet6!$G$1:$H$65536,2,0)</f>
        <v>7</v>
      </c>
      <c r="P40" s="144">
        <f>VLOOKUP(B:B,'10月'!B:S,18,0)</f>
        <v>2</v>
      </c>
      <c r="Q40" s="144">
        <f t="shared" si="14"/>
        <v>-5</v>
      </c>
      <c r="R40" s="11">
        <f>O40</f>
        <v>7</v>
      </c>
      <c r="S40" s="152">
        <f>R40*1.4</f>
        <v>9.8</v>
      </c>
      <c r="T40" s="152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89">
        <v>39</v>
      </c>
      <c r="B41" s="89">
        <v>584</v>
      </c>
      <c r="C41" s="141" t="s">
        <v>140</v>
      </c>
      <c r="D41" s="89" t="s">
        <v>139</v>
      </c>
      <c r="E41" s="89" t="s">
        <v>127</v>
      </c>
      <c r="F41" s="122">
        <v>4</v>
      </c>
      <c r="G41" s="122">
        <f>F41*1.4</f>
        <v>5.6</v>
      </c>
      <c r="H41" s="122">
        <f t="shared" si="12"/>
        <v>6</v>
      </c>
      <c r="I41" s="122" t="e">
        <v>#N/A</v>
      </c>
      <c r="J41" s="122">
        <v>6</v>
      </c>
      <c r="K41" s="144">
        <v>-2</v>
      </c>
      <c r="L41" s="122">
        <v>74</v>
      </c>
      <c r="M41" s="123">
        <f>L41*1.3</f>
        <v>96.2</v>
      </c>
      <c r="N41" s="122">
        <f t="shared" si="13"/>
        <v>96</v>
      </c>
      <c r="O41" s="144">
        <f>VLOOKUP(B:B,[3]Sheet6!$G$1:$H$65536,2,0)</f>
        <v>2</v>
      </c>
      <c r="P41" s="144">
        <f>VLOOKUP(B:B,'10月'!B:S,18,0)</f>
        <v>11</v>
      </c>
      <c r="Q41" s="144">
        <f t="shared" si="14"/>
        <v>9</v>
      </c>
      <c r="R41" s="11">
        <v>9</v>
      </c>
      <c r="S41" s="152">
        <f>R41*1.4</f>
        <v>12.6</v>
      </c>
      <c r="T41" s="152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89">
        <v>40</v>
      </c>
      <c r="B42" s="89">
        <v>737</v>
      </c>
      <c r="C42" s="141" t="s">
        <v>141</v>
      </c>
      <c r="D42" s="89" t="s">
        <v>107</v>
      </c>
      <c r="E42" s="89" t="s">
        <v>127</v>
      </c>
      <c r="F42" s="122">
        <v>10</v>
      </c>
      <c r="G42" s="122">
        <f>F42*1.3</f>
        <v>13</v>
      </c>
      <c r="H42" s="122">
        <f t="shared" si="12"/>
        <v>13</v>
      </c>
      <c r="I42" s="122">
        <v>3</v>
      </c>
      <c r="J42" s="122">
        <v>17</v>
      </c>
      <c r="K42" s="144">
        <v>-7</v>
      </c>
      <c r="L42" s="122">
        <v>179</v>
      </c>
      <c r="M42" s="122">
        <f>L42*1.13</f>
        <v>202.27</v>
      </c>
      <c r="N42" s="122">
        <f t="shared" si="13"/>
        <v>202</v>
      </c>
      <c r="O42" s="144">
        <f>VLOOKUP(B:B,[3]Sheet6!$G$1:$H$65536,2,0)</f>
        <v>13</v>
      </c>
      <c r="P42" s="144">
        <f>VLOOKUP(B:B,'10月'!B:S,18,0)</f>
        <v>12</v>
      </c>
      <c r="Q42" s="144">
        <f t="shared" si="14"/>
        <v>-1</v>
      </c>
      <c r="R42" s="11">
        <f>O42</f>
        <v>13</v>
      </c>
      <c r="S42" s="152">
        <f>R42*1.2</f>
        <v>15.6</v>
      </c>
      <c r="T42" s="152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89">
        <v>41</v>
      </c>
      <c r="B43" s="89">
        <v>733</v>
      </c>
      <c r="C43" s="141" t="s">
        <v>142</v>
      </c>
      <c r="D43" s="89" t="s">
        <v>139</v>
      </c>
      <c r="E43" s="89" t="s">
        <v>127</v>
      </c>
      <c r="F43" s="122">
        <v>6</v>
      </c>
      <c r="G43" s="122">
        <f>F43*1.4</f>
        <v>8.4</v>
      </c>
      <c r="H43" s="122">
        <f t="shared" si="12"/>
        <v>8</v>
      </c>
      <c r="I43" s="122">
        <v>5</v>
      </c>
      <c r="J43" s="122">
        <v>6</v>
      </c>
      <c r="K43" s="144">
        <v>0</v>
      </c>
      <c r="L43" s="122">
        <v>51</v>
      </c>
      <c r="M43" s="123">
        <f>L43*1.3</f>
        <v>66.3</v>
      </c>
      <c r="N43" s="122">
        <f t="shared" si="13"/>
        <v>66</v>
      </c>
      <c r="O43" s="144">
        <f>VLOOKUP(B:B,[3]Sheet6!$G$1:$H$65536,2,0)</f>
        <v>12</v>
      </c>
      <c r="P43" s="144">
        <f>VLOOKUP(B:B,'10月'!B:S,18,0)</f>
        <v>3</v>
      </c>
      <c r="Q43" s="144">
        <f t="shared" si="14"/>
        <v>-9</v>
      </c>
      <c r="R43" s="11">
        <v>8</v>
      </c>
      <c r="S43" s="152">
        <f t="shared" ref="S43:S48" si="18">R43*1.4</f>
        <v>11.2</v>
      </c>
      <c r="T43" s="152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89">
        <v>42</v>
      </c>
      <c r="B44" s="89">
        <v>740</v>
      </c>
      <c r="C44" s="141" t="s">
        <v>143</v>
      </c>
      <c r="D44" s="89" t="s">
        <v>113</v>
      </c>
      <c r="E44" s="89" t="s">
        <v>127</v>
      </c>
      <c r="F44" s="122">
        <v>6</v>
      </c>
      <c r="G44" s="122">
        <f>F44*1.4</f>
        <v>8.4</v>
      </c>
      <c r="H44" s="122">
        <f t="shared" si="12"/>
        <v>8</v>
      </c>
      <c r="I44" s="122">
        <v>4</v>
      </c>
      <c r="J44" s="122">
        <v>6</v>
      </c>
      <c r="K44" s="144">
        <v>0</v>
      </c>
      <c r="L44" s="122">
        <v>75</v>
      </c>
      <c r="M44" s="123">
        <f>L44*1.3</f>
        <v>97.5</v>
      </c>
      <c r="N44" s="122">
        <f t="shared" si="13"/>
        <v>98</v>
      </c>
      <c r="O44" s="144">
        <f>VLOOKUP(B:B,[3]Sheet6!$G$1:$H$65536,2,0)</f>
        <v>4</v>
      </c>
      <c r="P44" s="144">
        <f>VLOOKUP(B:B,'10月'!B:S,18,0)</f>
        <v>3</v>
      </c>
      <c r="Q44" s="144">
        <f t="shared" si="14"/>
        <v>-1</v>
      </c>
      <c r="R44" s="11">
        <f>O44</f>
        <v>4</v>
      </c>
      <c r="S44" s="152">
        <f t="shared" si="18"/>
        <v>5.6</v>
      </c>
      <c r="T44" s="152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89">
        <v>43</v>
      </c>
      <c r="B45" s="89">
        <v>545</v>
      </c>
      <c r="C45" s="141" t="s">
        <v>144</v>
      </c>
      <c r="D45" s="89" t="s">
        <v>113</v>
      </c>
      <c r="E45" s="89" t="s">
        <v>127</v>
      </c>
      <c r="F45" s="122">
        <v>12</v>
      </c>
      <c r="G45" s="122">
        <f>F45*1.3</f>
        <v>15.6</v>
      </c>
      <c r="H45" s="122">
        <f t="shared" si="12"/>
        <v>16</v>
      </c>
      <c r="I45" s="122">
        <v>22</v>
      </c>
      <c r="J45" s="122">
        <v>6</v>
      </c>
      <c r="K45" s="144">
        <v>6</v>
      </c>
      <c r="L45" s="122">
        <v>101</v>
      </c>
      <c r="M45" s="122">
        <f>L45*1.18</f>
        <v>119.18</v>
      </c>
      <c r="N45" s="122">
        <f t="shared" si="13"/>
        <v>119</v>
      </c>
      <c r="O45" s="144">
        <f>VLOOKUP(B:B,[3]Sheet6!$G$1:$H$65536,2,0)</f>
        <v>2</v>
      </c>
      <c r="P45" s="144">
        <f>VLOOKUP(B:B,'10月'!B:S,18,0)</f>
        <v>5</v>
      </c>
      <c r="Q45" s="144">
        <f t="shared" si="14"/>
        <v>3</v>
      </c>
      <c r="R45" s="11">
        <v>5</v>
      </c>
      <c r="S45" s="152">
        <f t="shared" si="18"/>
        <v>7</v>
      </c>
      <c r="T45" s="152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89">
        <v>44</v>
      </c>
      <c r="B46" s="90">
        <v>753</v>
      </c>
      <c r="C46" s="142" t="s">
        <v>145</v>
      </c>
      <c r="D46" s="90" t="s">
        <v>113</v>
      </c>
      <c r="E46" s="90" t="s">
        <v>127</v>
      </c>
      <c r="F46" s="122">
        <v>4</v>
      </c>
      <c r="G46" s="122">
        <f>F46*1.4</f>
        <v>5.6</v>
      </c>
      <c r="H46" s="122">
        <f t="shared" si="12"/>
        <v>6</v>
      </c>
      <c r="I46" s="122" t="e">
        <v>#N/A</v>
      </c>
      <c r="J46" s="122">
        <v>6</v>
      </c>
      <c r="K46" s="144">
        <v>-2</v>
      </c>
      <c r="L46" s="122">
        <v>40</v>
      </c>
      <c r="M46" s="123">
        <f>L46*1.3</f>
        <v>52</v>
      </c>
      <c r="N46" s="122">
        <f t="shared" si="13"/>
        <v>52</v>
      </c>
      <c r="O46" s="144" t="e">
        <f>VLOOKUP(B:B,[3]Sheet6!$G$1:$H$65536,2,0)</f>
        <v>#N/A</v>
      </c>
      <c r="P46" s="144">
        <f>VLOOKUP(B:B,'10月'!B:S,18,0)</f>
        <v>2</v>
      </c>
      <c r="Q46" s="144" t="e">
        <f t="shared" si="14"/>
        <v>#N/A</v>
      </c>
      <c r="R46" s="11">
        <v>4</v>
      </c>
      <c r="S46" s="152">
        <f t="shared" si="18"/>
        <v>5.6</v>
      </c>
      <c r="T46" s="152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89">
        <v>45</v>
      </c>
      <c r="B47" s="91">
        <v>103639</v>
      </c>
      <c r="C47" s="142" t="s">
        <v>146</v>
      </c>
      <c r="D47" s="89" t="s">
        <v>109</v>
      </c>
      <c r="E47" s="89" t="s">
        <v>127</v>
      </c>
      <c r="F47" s="122">
        <v>10</v>
      </c>
      <c r="G47" s="122">
        <f>F47*1.3</f>
        <v>13</v>
      </c>
      <c r="H47" s="122">
        <f t="shared" si="12"/>
        <v>13</v>
      </c>
      <c r="I47" s="122">
        <v>12</v>
      </c>
      <c r="J47" s="122">
        <v>6</v>
      </c>
      <c r="K47" s="144">
        <v>4</v>
      </c>
      <c r="L47" s="122">
        <v>74</v>
      </c>
      <c r="M47" s="123">
        <f>L47*1.3</f>
        <v>96.2</v>
      </c>
      <c r="N47" s="122">
        <f t="shared" si="13"/>
        <v>96</v>
      </c>
      <c r="O47" s="144">
        <f>VLOOKUP(B:B,[3]Sheet6!$G$1:$H$65536,2,0)</f>
        <v>1</v>
      </c>
      <c r="P47" s="144">
        <f>VLOOKUP(B:B,'10月'!B:S,18,0)</f>
        <v>3</v>
      </c>
      <c r="Q47" s="144">
        <f t="shared" si="14"/>
        <v>2</v>
      </c>
      <c r="R47" s="11">
        <v>3</v>
      </c>
      <c r="S47" s="152">
        <f t="shared" si="18"/>
        <v>4.2</v>
      </c>
      <c r="T47" s="152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89">
        <v>46</v>
      </c>
      <c r="B48" s="91">
        <v>104430</v>
      </c>
      <c r="C48" s="143" t="s">
        <v>147</v>
      </c>
      <c r="D48" s="92"/>
      <c r="E48" s="91" t="str">
        <f>VLOOKUP(B:B,[2]查询时间段分门店销售汇总!$D$1:$H$65536,5,0)</f>
        <v>东南片区</v>
      </c>
      <c r="F48" s="122">
        <v>4</v>
      </c>
      <c r="G48" s="122">
        <f>F48*1.4</f>
        <v>5.6</v>
      </c>
      <c r="H48" s="122">
        <f t="shared" si="12"/>
        <v>6</v>
      </c>
      <c r="I48" s="122" t="e">
        <v>#N/A</v>
      </c>
      <c r="J48" s="122" t="e">
        <v>#N/A</v>
      </c>
      <c r="K48" s="144" t="e">
        <v>#N/A</v>
      </c>
      <c r="L48" s="122">
        <v>40</v>
      </c>
      <c r="M48" s="123">
        <f>L48*1.3</f>
        <v>52</v>
      </c>
      <c r="N48" s="122">
        <f t="shared" si="13"/>
        <v>52</v>
      </c>
      <c r="O48" s="144" t="e">
        <f>VLOOKUP(B:B,[3]Sheet6!$G$1:$H$65536,2,0)</f>
        <v>#N/A</v>
      </c>
      <c r="P48" s="144" t="e">
        <f>VLOOKUP(B:B,'10月'!B:S,18,0)</f>
        <v>#N/A</v>
      </c>
      <c r="Q48" s="144" t="e">
        <f t="shared" si="14"/>
        <v>#N/A</v>
      </c>
      <c r="R48" s="11">
        <v>4</v>
      </c>
      <c r="S48" s="152">
        <f t="shared" si="18"/>
        <v>5.6</v>
      </c>
      <c r="T48" s="152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89">
        <v>47</v>
      </c>
      <c r="B49" s="89">
        <v>578</v>
      </c>
      <c r="C49" s="141" t="s">
        <v>148</v>
      </c>
      <c r="D49" s="89" t="s">
        <v>95</v>
      </c>
      <c r="E49" s="89" t="s">
        <v>149</v>
      </c>
      <c r="F49" s="122">
        <v>22</v>
      </c>
      <c r="G49" s="122">
        <f>F49*1.2</f>
        <v>26.4</v>
      </c>
      <c r="H49" s="122">
        <f t="shared" si="12"/>
        <v>26</v>
      </c>
      <c r="I49" s="122">
        <v>22</v>
      </c>
      <c r="J49" s="122">
        <v>17</v>
      </c>
      <c r="K49" s="144">
        <v>5</v>
      </c>
      <c r="L49" s="122">
        <v>101</v>
      </c>
      <c r="M49" s="122">
        <f>L49*1.18</f>
        <v>119.18</v>
      </c>
      <c r="N49" s="122">
        <f t="shared" si="13"/>
        <v>119</v>
      </c>
      <c r="O49" s="144">
        <f>VLOOKUP(B:B,[3]Sheet6!$G$1:$H$65536,2,0)</f>
        <v>18</v>
      </c>
      <c r="P49" s="144">
        <f>VLOOKUP(B:B,'10月'!B:S,18,0)</f>
        <v>6</v>
      </c>
      <c r="Q49" s="144">
        <f t="shared" si="14"/>
        <v>-12</v>
      </c>
      <c r="R49" s="11">
        <v>16</v>
      </c>
      <c r="S49" s="152">
        <f>R49*1.2</f>
        <v>19.2</v>
      </c>
      <c r="T49" s="152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89">
        <v>48</v>
      </c>
      <c r="B50" s="89">
        <v>373</v>
      </c>
      <c r="C50" s="141" t="s">
        <v>150</v>
      </c>
      <c r="D50" s="89" t="s">
        <v>104</v>
      </c>
      <c r="E50" s="89" t="s">
        <v>149</v>
      </c>
      <c r="F50" s="122">
        <v>34</v>
      </c>
      <c r="G50" s="122">
        <f>F50*1.2</f>
        <v>40.8</v>
      </c>
      <c r="H50" s="122">
        <f t="shared" si="12"/>
        <v>41</v>
      </c>
      <c r="I50" s="122">
        <v>58</v>
      </c>
      <c r="J50" s="122">
        <v>17</v>
      </c>
      <c r="K50" s="144">
        <v>17</v>
      </c>
      <c r="L50" s="122">
        <v>123</v>
      </c>
      <c r="M50" s="122">
        <f>L50*1.18</f>
        <v>145.14</v>
      </c>
      <c r="N50" s="122">
        <f t="shared" si="13"/>
        <v>145</v>
      </c>
      <c r="O50" s="144">
        <f>VLOOKUP(B:B,[3]Sheet6!$G$1:$H$65536,2,0)</f>
        <v>13</v>
      </c>
      <c r="P50" s="144">
        <f>VLOOKUP(B:B,'10月'!B:S,18,0)</f>
        <v>14</v>
      </c>
      <c r="Q50" s="144">
        <f t="shared" si="14"/>
        <v>1</v>
      </c>
      <c r="R50" s="11">
        <v>14</v>
      </c>
      <c r="S50" s="152">
        <f>R50*1.2</f>
        <v>16.8</v>
      </c>
      <c r="T50" s="152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89">
        <v>49</v>
      </c>
      <c r="B51" s="89">
        <v>515</v>
      </c>
      <c r="C51" s="141" t="s">
        <v>151</v>
      </c>
      <c r="D51" s="89" t="s">
        <v>104</v>
      </c>
      <c r="E51" s="89" t="s">
        <v>149</v>
      </c>
      <c r="F51" s="122">
        <v>18</v>
      </c>
      <c r="G51" s="122">
        <f>F51*1.3</f>
        <v>23.4</v>
      </c>
      <c r="H51" s="122">
        <f t="shared" si="12"/>
        <v>23</v>
      </c>
      <c r="I51" s="122">
        <v>18</v>
      </c>
      <c r="J51" s="122">
        <v>17</v>
      </c>
      <c r="K51" s="144">
        <v>1</v>
      </c>
      <c r="L51" s="122">
        <v>180</v>
      </c>
      <c r="M51" s="122">
        <f>L51*1.13</f>
        <v>203.4</v>
      </c>
      <c r="N51" s="122">
        <f t="shared" si="13"/>
        <v>203</v>
      </c>
      <c r="O51" s="144">
        <f>VLOOKUP(B:B,[3]Sheet6!$G$1:$H$65536,2,0)</f>
        <v>8</v>
      </c>
      <c r="P51" s="144">
        <f>VLOOKUP(B:B,'10月'!B:S,18,0)</f>
        <v>6</v>
      </c>
      <c r="Q51" s="144">
        <f t="shared" si="14"/>
        <v>-2</v>
      </c>
      <c r="R51" s="11">
        <f>O51</f>
        <v>8</v>
      </c>
      <c r="S51" s="152">
        <f>R51*1.4</f>
        <v>11.2</v>
      </c>
      <c r="T51" s="152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89">
        <v>50</v>
      </c>
      <c r="B52" s="89">
        <v>308</v>
      </c>
      <c r="C52" s="141" t="s">
        <v>152</v>
      </c>
      <c r="D52" s="89" t="s">
        <v>95</v>
      </c>
      <c r="E52" s="89" t="s">
        <v>149</v>
      </c>
      <c r="F52" s="122">
        <v>22</v>
      </c>
      <c r="G52" s="122">
        <f>F52*1.2</f>
        <v>26.4</v>
      </c>
      <c r="H52" s="122">
        <f t="shared" si="12"/>
        <v>26</v>
      </c>
      <c r="I52" s="122">
        <v>17</v>
      </c>
      <c r="J52" s="122">
        <v>27</v>
      </c>
      <c r="K52" s="144">
        <v>-5</v>
      </c>
      <c r="L52" s="122">
        <v>105</v>
      </c>
      <c r="M52" s="122">
        <f>L52*1.18</f>
        <v>123.9</v>
      </c>
      <c r="N52" s="122">
        <f t="shared" si="13"/>
        <v>124</v>
      </c>
      <c r="O52" s="144">
        <f>VLOOKUP(B:B,[3]Sheet6!$G$1:$H$65536,2,0)</f>
        <v>4</v>
      </c>
      <c r="P52" s="144">
        <f>VLOOKUP(B:B,'10月'!B:S,18,0)</f>
        <v>7</v>
      </c>
      <c r="Q52" s="144">
        <f t="shared" si="14"/>
        <v>3</v>
      </c>
      <c r="R52" s="11">
        <v>7</v>
      </c>
      <c r="S52" s="152">
        <f>R52*1.4</f>
        <v>9.8</v>
      </c>
      <c r="T52" s="152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89">
        <v>51</v>
      </c>
      <c r="B53" s="89">
        <v>517</v>
      </c>
      <c r="C53" s="141" t="s">
        <v>153</v>
      </c>
      <c r="D53" s="89" t="s">
        <v>92</v>
      </c>
      <c r="E53" s="89" t="s">
        <v>149</v>
      </c>
      <c r="F53" s="122">
        <v>22</v>
      </c>
      <c r="G53" s="122">
        <f>F53*1.2</f>
        <v>26.4</v>
      </c>
      <c r="H53" s="122">
        <f t="shared" si="12"/>
        <v>26</v>
      </c>
      <c r="I53" s="122">
        <v>2</v>
      </c>
      <c r="J53" s="122">
        <v>27</v>
      </c>
      <c r="K53" s="144">
        <v>-5</v>
      </c>
      <c r="L53" s="122">
        <v>70</v>
      </c>
      <c r="M53" s="123">
        <f>L53*1.3</f>
        <v>91</v>
      </c>
      <c r="N53" s="122">
        <f t="shared" si="13"/>
        <v>91</v>
      </c>
      <c r="O53" s="144">
        <f>VLOOKUP(B:B,[3]Sheet6!$G$1:$H$65536,2,0)</f>
        <v>12</v>
      </c>
      <c r="P53" s="144">
        <f>VLOOKUP(B:B,'10月'!B:S,18,0)</f>
        <v>2</v>
      </c>
      <c r="Q53" s="144">
        <f t="shared" si="14"/>
        <v>-10</v>
      </c>
      <c r="R53" s="11">
        <v>11</v>
      </c>
      <c r="S53" s="152">
        <f>R53*1.2</f>
        <v>13.2</v>
      </c>
      <c r="T53" s="152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89">
        <v>52</v>
      </c>
      <c r="B54" s="89">
        <v>744</v>
      </c>
      <c r="C54" s="141" t="s">
        <v>154</v>
      </c>
      <c r="D54" s="89" t="s">
        <v>95</v>
      </c>
      <c r="E54" s="89" t="s">
        <v>149</v>
      </c>
      <c r="F54" s="122">
        <v>21</v>
      </c>
      <c r="G54" s="122">
        <f>F54*1.2</f>
        <v>25.2</v>
      </c>
      <c r="H54" s="122">
        <f t="shared" si="12"/>
        <v>25</v>
      </c>
      <c r="I54" s="122">
        <v>21</v>
      </c>
      <c r="J54" s="122">
        <v>20</v>
      </c>
      <c r="K54" s="144">
        <v>1</v>
      </c>
      <c r="L54" s="122">
        <v>85</v>
      </c>
      <c r="M54" s="123">
        <f>L54*1.3</f>
        <v>110.5</v>
      </c>
      <c r="N54" s="122">
        <f t="shared" si="13"/>
        <v>111</v>
      </c>
      <c r="O54" s="144">
        <f>VLOOKUP(B:B,[3]Sheet6!$G$1:$H$65536,2,0)</f>
        <v>10</v>
      </c>
      <c r="P54" s="144">
        <f>VLOOKUP(B:B,'10月'!B:S,18,0)</f>
        <v>7</v>
      </c>
      <c r="Q54" s="144">
        <f t="shared" si="14"/>
        <v>-3</v>
      </c>
      <c r="R54" s="11">
        <f>O54</f>
        <v>10</v>
      </c>
      <c r="S54" s="152">
        <f>R54*1.4</f>
        <v>14</v>
      </c>
      <c r="T54" s="152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89">
        <v>53</v>
      </c>
      <c r="B55" s="89">
        <v>391</v>
      </c>
      <c r="C55" s="141" t="s">
        <v>155</v>
      </c>
      <c r="D55" s="89" t="s">
        <v>104</v>
      </c>
      <c r="E55" s="89" t="s">
        <v>149</v>
      </c>
      <c r="F55" s="122">
        <v>14</v>
      </c>
      <c r="G55" s="122">
        <f>F55*1.3</f>
        <v>18.2</v>
      </c>
      <c r="H55" s="122">
        <f t="shared" si="12"/>
        <v>18</v>
      </c>
      <c r="I55" s="122">
        <v>12</v>
      </c>
      <c r="J55" s="122">
        <v>17</v>
      </c>
      <c r="K55" s="144">
        <v>-3</v>
      </c>
      <c r="L55" s="122">
        <v>155</v>
      </c>
      <c r="M55" s="122">
        <f>L55*1.13</f>
        <v>175.15</v>
      </c>
      <c r="N55" s="122">
        <f t="shared" si="13"/>
        <v>175</v>
      </c>
      <c r="O55" s="144">
        <f>VLOOKUP(B:B,[3]Sheet6!$G$1:$H$65536,2,0)</f>
        <v>9</v>
      </c>
      <c r="P55" s="144">
        <f>VLOOKUP(B:B,'10月'!B:S,18,0)</f>
        <v>2</v>
      </c>
      <c r="Q55" s="144">
        <f t="shared" si="14"/>
        <v>-7</v>
      </c>
      <c r="R55" s="11">
        <v>7</v>
      </c>
      <c r="S55" s="152">
        <f>R55*1.4</f>
        <v>9.8</v>
      </c>
      <c r="T55" s="152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89">
        <v>54</v>
      </c>
      <c r="B56" s="89">
        <v>355</v>
      </c>
      <c r="C56" s="141" t="s">
        <v>156</v>
      </c>
      <c r="D56" s="89" t="s">
        <v>95</v>
      </c>
      <c r="E56" s="89" t="s">
        <v>149</v>
      </c>
      <c r="F56" s="122">
        <v>15</v>
      </c>
      <c r="G56" s="122">
        <f>F56*1.3</f>
        <v>19.5</v>
      </c>
      <c r="H56" s="122">
        <f t="shared" si="12"/>
        <v>20</v>
      </c>
      <c r="I56" s="122">
        <v>4</v>
      </c>
      <c r="J56" s="122">
        <v>20</v>
      </c>
      <c r="K56" s="144">
        <v>-5</v>
      </c>
      <c r="L56" s="122">
        <v>145</v>
      </c>
      <c r="M56" s="122">
        <f>L56*1.18</f>
        <v>171.1</v>
      </c>
      <c r="N56" s="122">
        <f t="shared" si="13"/>
        <v>171</v>
      </c>
      <c r="O56" s="144">
        <f>VLOOKUP(B:B,[3]Sheet6!$G$1:$H$65536,2,0)</f>
        <v>7</v>
      </c>
      <c r="P56" s="144">
        <f>VLOOKUP(B:B,'10月'!B:S,18,0)</f>
        <v>8</v>
      </c>
      <c r="Q56" s="144">
        <f t="shared" si="14"/>
        <v>1</v>
      </c>
      <c r="R56" s="11">
        <v>8</v>
      </c>
      <c r="S56" s="152">
        <f>R56*1.4</f>
        <v>11.2</v>
      </c>
      <c r="T56" s="152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89">
        <v>55</v>
      </c>
      <c r="B57" s="89">
        <v>349</v>
      </c>
      <c r="C57" s="141" t="s">
        <v>157</v>
      </c>
      <c r="D57" s="89" t="s">
        <v>104</v>
      </c>
      <c r="E57" s="89" t="s">
        <v>149</v>
      </c>
      <c r="F57" s="122">
        <v>24</v>
      </c>
      <c r="G57" s="122">
        <f>F57*1.2</f>
        <v>28.8</v>
      </c>
      <c r="H57" s="122">
        <f t="shared" si="12"/>
        <v>29</v>
      </c>
      <c r="I57" s="122">
        <v>33</v>
      </c>
      <c r="J57" s="122">
        <v>17</v>
      </c>
      <c r="K57" s="144">
        <v>7</v>
      </c>
      <c r="L57" s="122">
        <v>102</v>
      </c>
      <c r="M57" s="122">
        <f>L57*1.18</f>
        <v>120.36</v>
      </c>
      <c r="N57" s="122">
        <f t="shared" si="13"/>
        <v>120</v>
      </c>
      <c r="O57" s="144">
        <f>VLOOKUP(B:B,[3]Sheet6!$G$1:$H$65536,2,0)</f>
        <v>7</v>
      </c>
      <c r="P57" s="144">
        <f>VLOOKUP(B:B,'10月'!B:S,18,0)</f>
        <v>12</v>
      </c>
      <c r="Q57" s="144">
        <f t="shared" si="14"/>
        <v>5</v>
      </c>
      <c r="R57" s="11">
        <v>12</v>
      </c>
      <c r="S57" s="152">
        <f>R57*1.2</f>
        <v>14.4</v>
      </c>
      <c r="T57" s="152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89">
        <v>56</v>
      </c>
      <c r="B58" s="89">
        <v>742</v>
      </c>
      <c r="C58" s="141" t="s">
        <v>158</v>
      </c>
      <c r="D58" s="89" t="s">
        <v>95</v>
      </c>
      <c r="E58" s="89" t="s">
        <v>149</v>
      </c>
      <c r="F58" s="122">
        <v>22</v>
      </c>
      <c r="G58" s="122">
        <f>F58*1.2</f>
        <v>26.4</v>
      </c>
      <c r="H58" s="122">
        <f t="shared" si="12"/>
        <v>26</v>
      </c>
      <c r="I58" s="122">
        <v>18</v>
      </c>
      <c r="J58" s="122">
        <v>27</v>
      </c>
      <c r="K58" s="144">
        <v>-5</v>
      </c>
      <c r="L58" s="122">
        <v>115</v>
      </c>
      <c r="M58" s="122">
        <f>L58*1.18</f>
        <v>135.7</v>
      </c>
      <c r="N58" s="122">
        <f t="shared" si="13"/>
        <v>136</v>
      </c>
      <c r="O58" s="144">
        <f>VLOOKUP(B:B,[3]Sheet6!$G$1:$H$65536,2,0)</f>
        <v>7</v>
      </c>
      <c r="P58" s="144">
        <f>VLOOKUP(B:B,'10月'!B:S,18,0)</f>
        <v>8</v>
      </c>
      <c r="Q58" s="144">
        <f t="shared" si="14"/>
        <v>1</v>
      </c>
      <c r="R58" s="11">
        <v>8</v>
      </c>
      <c r="S58" s="152">
        <f>R58*1.4</f>
        <v>11.2</v>
      </c>
      <c r="T58" s="152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89">
        <v>57</v>
      </c>
      <c r="B59" s="89">
        <v>511</v>
      </c>
      <c r="C59" s="141" t="s">
        <v>159</v>
      </c>
      <c r="D59" s="89" t="s">
        <v>107</v>
      </c>
      <c r="E59" s="89" t="s">
        <v>149</v>
      </c>
      <c r="F59" s="122">
        <v>12</v>
      </c>
      <c r="G59" s="122">
        <f>F59*1.3</f>
        <v>15.6</v>
      </c>
      <c r="H59" s="122">
        <f t="shared" si="12"/>
        <v>16</v>
      </c>
      <c r="I59" s="122">
        <v>1</v>
      </c>
      <c r="J59" s="122">
        <v>17</v>
      </c>
      <c r="K59" s="144">
        <v>-5</v>
      </c>
      <c r="L59" s="122">
        <v>112</v>
      </c>
      <c r="M59" s="122">
        <f>L59*1.18</f>
        <v>132.16</v>
      </c>
      <c r="N59" s="122">
        <f t="shared" si="13"/>
        <v>132</v>
      </c>
      <c r="O59" s="144">
        <f>VLOOKUP(B:B,[3]Sheet6!$G$1:$H$65536,2,0)</f>
        <v>1</v>
      </c>
      <c r="P59" s="144">
        <f>VLOOKUP(B:B,'10月'!B:S,18,0)</f>
        <v>8</v>
      </c>
      <c r="Q59" s="144">
        <f t="shared" si="14"/>
        <v>7</v>
      </c>
      <c r="R59" s="11">
        <v>6</v>
      </c>
      <c r="S59" s="152">
        <f>R59*1.4</f>
        <v>8.4</v>
      </c>
      <c r="T59" s="152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89">
        <v>58</v>
      </c>
      <c r="B60" s="89">
        <v>747</v>
      </c>
      <c r="C60" s="141" t="s">
        <v>160</v>
      </c>
      <c r="D60" s="89" t="s">
        <v>139</v>
      </c>
      <c r="E60" s="89" t="s">
        <v>149</v>
      </c>
      <c r="F60" s="122">
        <v>4</v>
      </c>
      <c r="G60" s="122">
        <f>F60*1.4</f>
        <v>5.6</v>
      </c>
      <c r="H60" s="122">
        <f t="shared" si="12"/>
        <v>6</v>
      </c>
      <c r="I60" s="122">
        <v>3</v>
      </c>
      <c r="J60" s="122">
        <v>6</v>
      </c>
      <c r="K60" s="144">
        <v>-2</v>
      </c>
      <c r="L60" s="122">
        <v>73</v>
      </c>
      <c r="M60" s="123">
        <f t="shared" ref="M60:M66" si="20">L60*1.3</f>
        <v>94.9</v>
      </c>
      <c r="N60" s="122">
        <f t="shared" si="13"/>
        <v>95</v>
      </c>
      <c r="O60" s="144">
        <f>VLOOKUP(B:B,[3]Sheet6!$G$1:$H$65536,2,0)</f>
        <v>8</v>
      </c>
      <c r="P60" s="144">
        <f>VLOOKUP(B:B,'10月'!B:S,18,0)</f>
        <v>12</v>
      </c>
      <c r="Q60" s="144">
        <f t="shared" si="14"/>
        <v>4</v>
      </c>
      <c r="R60" s="11">
        <v>12</v>
      </c>
      <c r="S60" s="152">
        <f>R60*1.2</f>
        <v>14.4</v>
      </c>
      <c r="T60" s="152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89">
        <v>59</v>
      </c>
      <c r="B61" s="89">
        <v>572</v>
      </c>
      <c r="C61" s="141" t="s">
        <v>161</v>
      </c>
      <c r="D61" s="89" t="s">
        <v>104</v>
      </c>
      <c r="E61" s="89" t="s">
        <v>149</v>
      </c>
      <c r="F61" s="122">
        <v>12</v>
      </c>
      <c r="G61" s="122">
        <f>F61*1.3</f>
        <v>15.6</v>
      </c>
      <c r="H61" s="122">
        <f t="shared" si="12"/>
        <v>16</v>
      </c>
      <c r="I61" s="122">
        <v>1</v>
      </c>
      <c r="J61" s="122">
        <v>17</v>
      </c>
      <c r="K61" s="144">
        <v>-5</v>
      </c>
      <c r="L61" s="122">
        <v>92</v>
      </c>
      <c r="M61" s="123">
        <f t="shared" si="20"/>
        <v>119.6</v>
      </c>
      <c r="N61" s="122">
        <f t="shared" si="13"/>
        <v>120</v>
      </c>
      <c r="O61" s="144">
        <f>VLOOKUP(B:B,[3]Sheet6!$G$1:$H$65536,2,0)</f>
        <v>15</v>
      </c>
      <c r="P61" s="144">
        <f>VLOOKUP(B:B,'10月'!B:S,18,0)</f>
        <v>12</v>
      </c>
      <c r="Q61" s="144">
        <f t="shared" si="14"/>
        <v>-3</v>
      </c>
      <c r="R61" s="11">
        <f>O61</f>
        <v>15</v>
      </c>
      <c r="S61" s="152">
        <f>R61*1.2</f>
        <v>18</v>
      </c>
      <c r="T61" s="152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89">
        <v>60</v>
      </c>
      <c r="B62" s="89">
        <v>723</v>
      </c>
      <c r="C62" s="141" t="s">
        <v>162</v>
      </c>
      <c r="D62" s="89" t="s">
        <v>113</v>
      </c>
      <c r="E62" s="89" t="s">
        <v>149</v>
      </c>
      <c r="F62" s="122">
        <v>5</v>
      </c>
      <c r="G62" s="122">
        <f>F62*1.4</f>
        <v>7</v>
      </c>
      <c r="H62" s="122">
        <f t="shared" si="12"/>
        <v>7</v>
      </c>
      <c r="I62" s="122">
        <v>4</v>
      </c>
      <c r="J62" s="122">
        <v>6</v>
      </c>
      <c r="K62" s="144">
        <v>-1</v>
      </c>
      <c r="L62" s="122">
        <v>72</v>
      </c>
      <c r="M62" s="123">
        <f t="shared" si="20"/>
        <v>93.6</v>
      </c>
      <c r="N62" s="122">
        <f t="shared" si="13"/>
        <v>94</v>
      </c>
      <c r="O62" s="144">
        <f>VLOOKUP(B:B,[3]Sheet6!$G$1:$H$65536,2,0)</f>
        <v>4</v>
      </c>
      <c r="P62" s="144">
        <f>VLOOKUP(B:B,'10月'!B:S,18,0)</f>
        <v>3</v>
      </c>
      <c r="Q62" s="144">
        <f t="shared" si="14"/>
        <v>-1</v>
      </c>
      <c r="R62" s="11">
        <f>O62</f>
        <v>4</v>
      </c>
      <c r="S62" s="152">
        <f>R62*1.4</f>
        <v>5.6</v>
      </c>
      <c r="T62" s="152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89">
        <v>61</v>
      </c>
      <c r="B63" s="89">
        <v>718</v>
      </c>
      <c r="C63" s="141" t="s">
        <v>163</v>
      </c>
      <c r="D63" s="89" t="s">
        <v>113</v>
      </c>
      <c r="E63" s="89" t="s">
        <v>149</v>
      </c>
      <c r="F63" s="122">
        <v>10</v>
      </c>
      <c r="G63" s="122">
        <f>F63*1.3</f>
        <v>13</v>
      </c>
      <c r="H63" s="122">
        <f t="shared" si="12"/>
        <v>13</v>
      </c>
      <c r="I63" s="122">
        <v>16</v>
      </c>
      <c r="J63" s="122">
        <v>6</v>
      </c>
      <c r="K63" s="144">
        <v>4</v>
      </c>
      <c r="L63" s="122">
        <v>54</v>
      </c>
      <c r="M63" s="123">
        <f t="shared" si="20"/>
        <v>70.2</v>
      </c>
      <c r="N63" s="122">
        <f t="shared" si="13"/>
        <v>70</v>
      </c>
      <c r="O63" s="144">
        <f>VLOOKUP(B:B,[3]Sheet6!$G$1:$H$65536,2,0)</f>
        <v>18</v>
      </c>
      <c r="P63" s="144">
        <f>VLOOKUP(B:B,'10月'!B:S,18,0)</f>
        <v>2</v>
      </c>
      <c r="Q63" s="144">
        <f t="shared" si="14"/>
        <v>-16</v>
      </c>
      <c r="R63" s="11">
        <f>O63</f>
        <v>18</v>
      </c>
      <c r="S63" s="152">
        <f>R63*1.2</f>
        <v>21.6</v>
      </c>
      <c r="T63" s="152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89">
        <v>62</v>
      </c>
      <c r="B64" s="91">
        <v>102935</v>
      </c>
      <c r="C64" s="142" t="s">
        <v>164</v>
      </c>
      <c r="D64" s="89" t="s">
        <v>109</v>
      </c>
      <c r="E64" s="89" t="s">
        <v>149</v>
      </c>
      <c r="F64" s="122">
        <v>15</v>
      </c>
      <c r="G64" s="122">
        <f>F64*1.3</f>
        <v>19.5</v>
      </c>
      <c r="H64" s="122">
        <f t="shared" si="12"/>
        <v>20</v>
      </c>
      <c r="I64" s="122">
        <v>22</v>
      </c>
      <c r="J64" s="122">
        <v>6</v>
      </c>
      <c r="K64" s="144">
        <v>9</v>
      </c>
      <c r="L64" s="122">
        <v>74</v>
      </c>
      <c r="M64" s="123">
        <f t="shared" si="20"/>
        <v>96.2</v>
      </c>
      <c r="N64" s="122">
        <f t="shared" si="13"/>
        <v>96</v>
      </c>
      <c r="O64" s="144">
        <f>VLOOKUP(B:B,[3]Sheet6!$G$1:$H$65536,2,0)</f>
        <v>12</v>
      </c>
      <c r="P64" s="144">
        <f>VLOOKUP(B:B,'10月'!B:S,18,0)</f>
        <v>5</v>
      </c>
      <c r="Q64" s="144">
        <f t="shared" si="14"/>
        <v>-7</v>
      </c>
      <c r="R64" s="11">
        <v>9</v>
      </c>
      <c r="S64" s="152">
        <f>R64*1.4</f>
        <v>12.6</v>
      </c>
      <c r="T64" s="152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89">
        <v>63</v>
      </c>
      <c r="B65" s="91">
        <v>102478</v>
      </c>
      <c r="C65" s="142" t="s">
        <v>165</v>
      </c>
      <c r="D65" s="89" t="s">
        <v>139</v>
      </c>
      <c r="E65" s="89" t="s">
        <v>149</v>
      </c>
      <c r="F65" s="122">
        <v>4</v>
      </c>
      <c r="G65" s="122">
        <f>F65*1.4</f>
        <v>5.6</v>
      </c>
      <c r="H65" s="122">
        <f t="shared" si="12"/>
        <v>6</v>
      </c>
      <c r="I65" s="122">
        <v>3</v>
      </c>
      <c r="J65" s="122">
        <v>6</v>
      </c>
      <c r="K65" s="144">
        <v>-2</v>
      </c>
      <c r="L65" s="122">
        <v>40</v>
      </c>
      <c r="M65" s="123">
        <f t="shared" si="20"/>
        <v>52</v>
      </c>
      <c r="N65" s="122">
        <f t="shared" si="13"/>
        <v>52</v>
      </c>
      <c r="O65" s="144">
        <f>VLOOKUP(B:B,[3]Sheet6!$G$1:$H$65536,2,0)</f>
        <v>3</v>
      </c>
      <c r="P65" s="144">
        <f>VLOOKUP(B:B,'10月'!B:S,18,0)</f>
        <v>2</v>
      </c>
      <c r="Q65" s="144">
        <f t="shared" si="14"/>
        <v>-1</v>
      </c>
      <c r="R65" s="11">
        <f>O65</f>
        <v>3</v>
      </c>
      <c r="S65" s="152">
        <f>R65*1.4</f>
        <v>4.2</v>
      </c>
      <c r="T65" s="152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89">
        <v>64</v>
      </c>
      <c r="B66" s="91">
        <v>102479</v>
      </c>
      <c r="C66" s="142" t="s">
        <v>166</v>
      </c>
      <c r="D66" s="89" t="s">
        <v>109</v>
      </c>
      <c r="E66" s="89" t="s">
        <v>149</v>
      </c>
      <c r="F66" s="122">
        <v>8</v>
      </c>
      <c r="G66" s="122">
        <f>F66*1.4</f>
        <v>11.2</v>
      </c>
      <c r="H66" s="122">
        <f t="shared" si="12"/>
        <v>11</v>
      </c>
      <c r="I66" s="122">
        <v>9</v>
      </c>
      <c r="J66" s="122">
        <v>6</v>
      </c>
      <c r="K66" s="144">
        <v>2</v>
      </c>
      <c r="L66" s="122">
        <v>98</v>
      </c>
      <c r="M66" s="123">
        <f t="shared" si="20"/>
        <v>127.4</v>
      </c>
      <c r="N66" s="122">
        <f t="shared" si="13"/>
        <v>127</v>
      </c>
      <c r="O66" s="144">
        <f>VLOOKUP(B:B,[3]Sheet6!$G$1:$H$65536,2,0)</f>
        <v>1</v>
      </c>
      <c r="P66" s="144">
        <f>VLOOKUP(B:B,'10月'!B:S,18,0)</f>
        <v>11</v>
      </c>
      <c r="Q66" s="144">
        <f t="shared" si="14"/>
        <v>10</v>
      </c>
      <c r="R66" s="11">
        <v>6</v>
      </c>
      <c r="S66" s="152">
        <f>R66*1.4</f>
        <v>8.4</v>
      </c>
      <c r="T66" s="152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89">
        <v>65</v>
      </c>
      <c r="B67" s="91">
        <v>337</v>
      </c>
      <c r="C67" s="141" t="s">
        <v>167</v>
      </c>
      <c r="D67" s="89" t="s">
        <v>92</v>
      </c>
      <c r="E67" s="89" t="s">
        <v>149</v>
      </c>
      <c r="F67" s="122">
        <v>29</v>
      </c>
      <c r="G67" s="122">
        <f>F67*1.2</f>
        <v>34.8</v>
      </c>
      <c r="H67" s="122">
        <f t="shared" si="12"/>
        <v>35</v>
      </c>
      <c r="I67" s="122" t="e">
        <v>#N/A</v>
      </c>
      <c r="J67" s="122" t="e">
        <v>#N/A</v>
      </c>
      <c r="K67" s="144" t="e">
        <v>#N/A</v>
      </c>
      <c r="L67" s="122">
        <v>354</v>
      </c>
      <c r="M67" s="122">
        <f>L67*1.08</f>
        <v>382.32</v>
      </c>
      <c r="N67" s="122">
        <f t="shared" si="13"/>
        <v>382</v>
      </c>
      <c r="O67" s="144"/>
      <c r="P67" s="144" t="e">
        <f>VLOOKUP(B:B,'10月'!B:S,18,0)</f>
        <v>#N/A</v>
      </c>
      <c r="Q67" s="144" t="e">
        <f t="shared" si="14"/>
        <v>#N/A</v>
      </c>
      <c r="R67" s="11">
        <v>23</v>
      </c>
      <c r="S67" s="152">
        <f>R67*1.15</f>
        <v>26.45</v>
      </c>
      <c r="T67" s="152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89">
        <v>66</v>
      </c>
      <c r="B68" s="90">
        <v>341</v>
      </c>
      <c r="C68" s="142" t="s">
        <v>168</v>
      </c>
      <c r="D68" s="90" t="s">
        <v>92</v>
      </c>
      <c r="E68" s="90" t="s">
        <v>169</v>
      </c>
      <c r="F68" s="122">
        <v>22</v>
      </c>
      <c r="G68" s="122">
        <f>F68*1.2</f>
        <v>26.4</v>
      </c>
      <c r="H68" s="122">
        <f t="shared" ref="H68:H102" si="21">ROUND(G68,0)</f>
        <v>26</v>
      </c>
      <c r="I68" s="122">
        <v>8</v>
      </c>
      <c r="J68" s="122">
        <v>27</v>
      </c>
      <c r="K68" s="144">
        <v>-5</v>
      </c>
      <c r="L68" s="122">
        <v>64</v>
      </c>
      <c r="M68" s="123">
        <f>L68*1.3</f>
        <v>83.2</v>
      </c>
      <c r="N68" s="122">
        <f t="shared" ref="N68:N102" si="22">ROUND(M68,0)</f>
        <v>83</v>
      </c>
      <c r="O68" s="144">
        <f>VLOOKUP(B:B,[3]Sheet6!$G$1:$H$65536,2,0)</f>
        <v>23</v>
      </c>
      <c r="P68" s="144">
        <f>VLOOKUP(B:B,'10月'!B:S,18,0)</f>
        <v>16</v>
      </c>
      <c r="Q68" s="144">
        <f t="shared" ref="Q68:Q103" si="23">P68-O68</f>
        <v>-7</v>
      </c>
      <c r="R68" s="11">
        <v>19</v>
      </c>
      <c r="S68" s="152">
        <f>R68*1.2</f>
        <v>22.8</v>
      </c>
      <c r="T68" s="152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89">
        <v>67</v>
      </c>
      <c r="B69" s="89">
        <v>514</v>
      </c>
      <c r="C69" s="141" t="s">
        <v>170</v>
      </c>
      <c r="D69" s="89" t="s">
        <v>95</v>
      </c>
      <c r="E69" s="89" t="s">
        <v>169</v>
      </c>
      <c r="F69" s="122">
        <v>20</v>
      </c>
      <c r="G69" s="122">
        <f>F69*1.2</f>
        <v>24</v>
      </c>
      <c r="H69" s="122">
        <f t="shared" si="21"/>
        <v>24</v>
      </c>
      <c r="I69" s="122">
        <v>5</v>
      </c>
      <c r="J69" s="122">
        <v>27</v>
      </c>
      <c r="K69" s="144">
        <v>-7</v>
      </c>
      <c r="L69" s="122">
        <v>226</v>
      </c>
      <c r="M69" s="122">
        <f>L69*1.09</f>
        <v>246.34</v>
      </c>
      <c r="N69" s="122">
        <f t="shared" si="22"/>
        <v>246</v>
      </c>
      <c r="O69" s="144">
        <f>VLOOKUP(B:B,[3]Sheet6!$G$1:$H$65536,2,0)</f>
        <v>20</v>
      </c>
      <c r="P69" s="144">
        <f>VLOOKUP(B:B,'10月'!B:S,18,0)</f>
        <v>8</v>
      </c>
      <c r="Q69" s="144">
        <f t="shared" si="23"/>
        <v>-12</v>
      </c>
      <c r="R69" s="11">
        <f>O69</f>
        <v>20</v>
      </c>
      <c r="S69" s="152">
        <f>R69*1.15</f>
        <v>23</v>
      </c>
      <c r="T69" s="152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89">
        <v>68</v>
      </c>
      <c r="B70" s="89">
        <v>746</v>
      </c>
      <c r="C70" s="141" t="s">
        <v>171</v>
      </c>
      <c r="D70" s="89" t="s">
        <v>109</v>
      </c>
      <c r="E70" s="89" t="s">
        <v>169</v>
      </c>
      <c r="F70" s="122">
        <v>14</v>
      </c>
      <c r="G70" s="122">
        <f>F70*1.3</f>
        <v>18.2</v>
      </c>
      <c r="H70" s="122">
        <f t="shared" si="21"/>
        <v>18</v>
      </c>
      <c r="I70" s="122">
        <v>2</v>
      </c>
      <c r="J70" s="122">
        <v>17</v>
      </c>
      <c r="K70" s="144">
        <v>-3</v>
      </c>
      <c r="L70" s="122">
        <v>74</v>
      </c>
      <c r="M70" s="123">
        <f>L70*1.3</f>
        <v>96.2</v>
      </c>
      <c r="N70" s="122">
        <f t="shared" si="22"/>
        <v>96</v>
      </c>
      <c r="O70" s="144">
        <f>VLOOKUP(B:B,[3]Sheet6!$G$1:$H$65536,2,0)</f>
        <v>2</v>
      </c>
      <c r="P70" s="144">
        <f>VLOOKUP(B:B,'10月'!B:S,18,0)</f>
        <v>2</v>
      </c>
      <c r="Q70" s="144">
        <f t="shared" si="23"/>
        <v>0</v>
      </c>
      <c r="R70" s="11">
        <v>3</v>
      </c>
      <c r="S70" s="152">
        <f>R70*1.4</f>
        <v>4.2</v>
      </c>
      <c r="T70" s="152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89">
        <v>69</v>
      </c>
      <c r="B71" s="89">
        <v>385</v>
      </c>
      <c r="C71" s="141" t="s">
        <v>172</v>
      </c>
      <c r="D71" s="89" t="s">
        <v>92</v>
      </c>
      <c r="E71" s="89" t="s">
        <v>169</v>
      </c>
      <c r="F71" s="122">
        <v>27</v>
      </c>
      <c r="G71" s="122">
        <f>F71*1.2</f>
        <v>32.4</v>
      </c>
      <c r="H71" s="122">
        <f t="shared" si="21"/>
        <v>32</v>
      </c>
      <c r="I71" s="122">
        <v>20</v>
      </c>
      <c r="J71" s="122">
        <v>27</v>
      </c>
      <c r="K71" s="144">
        <v>0</v>
      </c>
      <c r="L71" s="122">
        <v>56</v>
      </c>
      <c r="M71" s="123">
        <f>L71*1.3</f>
        <v>72.8</v>
      </c>
      <c r="N71" s="122">
        <f t="shared" si="22"/>
        <v>73</v>
      </c>
      <c r="O71" s="144">
        <f>VLOOKUP(B:B,[3]Sheet6!$G$1:$H$65536,2,0)</f>
        <v>8</v>
      </c>
      <c r="P71" s="144">
        <f>VLOOKUP(B:B,'10月'!B:S,18,0)</f>
        <v>12</v>
      </c>
      <c r="Q71" s="144">
        <f t="shared" si="23"/>
        <v>4</v>
      </c>
      <c r="R71" s="11">
        <v>12</v>
      </c>
      <c r="S71" s="152">
        <f>R71*1.2</f>
        <v>14.4</v>
      </c>
      <c r="T71" s="152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89">
        <v>70</v>
      </c>
      <c r="B72" s="89">
        <v>721</v>
      </c>
      <c r="C72" s="141" t="s">
        <v>173</v>
      </c>
      <c r="D72" s="89" t="s">
        <v>109</v>
      </c>
      <c r="E72" s="89" t="s">
        <v>169</v>
      </c>
      <c r="F72" s="122">
        <v>14</v>
      </c>
      <c r="G72" s="122">
        <f>F72*1.3</f>
        <v>18.2</v>
      </c>
      <c r="H72" s="122">
        <f t="shared" si="21"/>
        <v>18</v>
      </c>
      <c r="I72" s="122">
        <v>2</v>
      </c>
      <c r="J72" s="122">
        <v>17</v>
      </c>
      <c r="K72" s="144">
        <v>-3</v>
      </c>
      <c r="L72" s="122">
        <v>150</v>
      </c>
      <c r="M72" s="122">
        <f>L72*1.13</f>
        <v>169.5</v>
      </c>
      <c r="N72" s="122">
        <f t="shared" si="22"/>
        <v>170</v>
      </c>
      <c r="O72" s="144">
        <f>VLOOKUP(B:B,[3]Sheet6!$G$1:$H$65536,2,0)</f>
        <v>9</v>
      </c>
      <c r="P72" s="144">
        <f>VLOOKUP(B:B,'10月'!B:S,18,0)</f>
        <v>8</v>
      </c>
      <c r="Q72" s="144">
        <f t="shared" si="23"/>
        <v>-1</v>
      </c>
      <c r="R72" s="11">
        <f>O72</f>
        <v>9</v>
      </c>
      <c r="S72" s="152">
        <f t="shared" ref="S72:S79" si="28">R72*1.4</f>
        <v>12.6</v>
      </c>
      <c r="T72" s="152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89">
        <v>71</v>
      </c>
      <c r="B73" s="89">
        <v>717</v>
      </c>
      <c r="C73" s="141" t="s">
        <v>174</v>
      </c>
      <c r="D73" s="89" t="s">
        <v>109</v>
      </c>
      <c r="E73" s="89" t="s">
        <v>169</v>
      </c>
      <c r="F73" s="122">
        <v>4</v>
      </c>
      <c r="G73" s="122">
        <f>F73*1.4</f>
        <v>5.6</v>
      </c>
      <c r="H73" s="122">
        <f t="shared" si="21"/>
        <v>6</v>
      </c>
      <c r="I73" s="122">
        <v>3</v>
      </c>
      <c r="J73" s="122">
        <v>6</v>
      </c>
      <c r="K73" s="144">
        <v>-2</v>
      </c>
      <c r="L73" s="122">
        <v>70</v>
      </c>
      <c r="M73" s="123">
        <f>L73*1.3</f>
        <v>91</v>
      </c>
      <c r="N73" s="122">
        <f t="shared" si="22"/>
        <v>91</v>
      </c>
      <c r="O73" s="144">
        <f>VLOOKUP(B:B,[3]Sheet6!$G$1:$H$65536,2,0)</f>
        <v>2</v>
      </c>
      <c r="P73" s="144">
        <f>VLOOKUP(B:B,'10月'!B:S,18,0)</f>
        <v>3</v>
      </c>
      <c r="Q73" s="144">
        <f t="shared" si="23"/>
        <v>1</v>
      </c>
      <c r="R73" s="11">
        <v>3</v>
      </c>
      <c r="S73" s="152">
        <f t="shared" si="28"/>
        <v>4.2</v>
      </c>
      <c r="T73" s="152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89">
        <v>72</v>
      </c>
      <c r="B74" s="89">
        <v>591</v>
      </c>
      <c r="C74" s="141" t="s">
        <v>175</v>
      </c>
      <c r="D74" s="89" t="s">
        <v>109</v>
      </c>
      <c r="E74" s="89" t="s">
        <v>169</v>
      </c>
      <c r="F74" s="122">
        <v>14</v>
      </c>
      <c r="G74" s="122">
        <f>F74*1.3</f>
        <v>18.2</v>
      </c>
      <c r="H74" s="122">
        <f t="shared" si="21"/>
        <v>18</v>
      </c>
      <c r="I74" s="122">
        <v>5</v>
      </c>
      <c r="J74" s="122">
        <v>17</v>
      </c>
      <c r="K74" s="144">
        <v>-3</v>
      </c>
      <c r="L74" s="122">
        <v>154</v>
      </c>
      <c r="M74" s="122">
        <f>L74*1.13</f>
        <v>174.02</v>
      </c>
      <c r="N74" s="122">
        <f t="shared" si="22"/>
        <v>174</v>
      </c>
      <c r="O74" s="144">
        <f>VLOOKUP(B:B,[3]Sheet6!$G$1:$H$65536,2,0)</f>
        <v>7</v>
      </c>
      <c r="P74" s="144">
        <f>VLOOKUP(B:B,'10月'!B:S,18,0)</f>
        <v>4</v>
      </c>
      <c r="Q74" s="144">
        <f t="shared" si="23"/>
        <v>-3</v>
      </c>
      <c r="R74" s="11">
        <f>O74</f>
        <v>7</v>
      </c>
      <c r="S74" s="152">
        <f t="shared" si="28"/>
        <v>9.8</v>
      </c>
      <c r="T74" s="152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89">
        <v>73</v>
      </c>
      <c r="B75" s="89">
        <v>748</v>
      </c>
      <c r="C75" s="141" t="s">
        <v>176</v>
      </c>
      <c r="D75" s="89" t="s">
        <v>113</v>
      </c>
      <c r="E75" s="89" t="s">
        <v>169</v>
      </c>
      <c r="F75" s="122">
        <v>9</v>
      </c>
      <c r="G75" s="122">
        <f>F75*1.4</f>
        <v>12.6</v>
      </c>
      <c r="H75" s="122">
        <f t="shared" si="21"/>
        <v>13</v>
      </c>
      <c r="I75" s="122">
        <v>10</v>
      </c>
      <c r="J75" s="122">
        <v>6</v>
      </c>
      <c r="K75" s="144">
        <v>3</v>
      </c>
      <c r="L75" s="122">
        <v>40</v>
      </c>
      <c r="M75" s="123">
        <f t="shared" ref="M75:M84" si="29">L75*1.3</f>
        <v>52</v>
      </c>
      <c r="N75" s="122">
        <f t="shared" si="22"/>
        <v>52</v>
      </c>
      <c r="O75" s="144">
        <f>VLOOKUP(B:B,[3]Sheet6!$G$1:$H$65536,2,0)</f>
        <v>6</v>
      </c>
      <c r="P75" s="144">
        <f>VLOOKUP(B:B,'10月'!B:S,18,0)</f>
        <v>8</v>
      </c>
      <c r="Q75" s="144">
        <f t="shared" si="23"/>
        <v>2</v>
      </c>
      <c r="R75" s="11">
        <v>8</v>
      </c>
      <c r="S75" s="152">
        <f t="shared" si="28"/>
        <v>11.2</v>
      </c>
      <c r="T75" s="152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89">
        <v>74</v>
      </c>
      <c r="B76" s="89">
        <v>371</v>
      </c>
      <c r="C76" s="141" t="s">
        <v>177</v>
      </c>
      <c r="D76" s="89" t="s">
        <v>139</v>
      </c>
      <c r="E76" s="89" t="s">
        <v>169</v>
      </c>
      <c r="F76" s="122">
        <v>4</v>
      </c>
      <c r="G76" s="122">
        <f>F76*1.4</f>
        <v>5.6</v>
      </c>
      <c r="H76" s="122">
        <f t="shared" si="21"/>
        <v>6</v>
      </c>
      <c r="I76" s="122">
        <v>1</v>
      </c>
      <c r="J76" s="122">
        <v>6</v>
      </c>
      <c r="K76" s="144">
        <v>-2</v>
      </c>
      <c r="L76" s="122">
        <v>82</v>
      </c>
      <c r="M76" s="123">
        <f t="shared" si="29"/>
        <v>106.6</v>
      </c>
      <c r="N76" s="122">
        <f t="shared" si="22"/>
        <v>107</v>
      </c>
      <c r="O76" s="144" t="e">
        <f>VLOOKUP(B:B,[3]Sheet6!$G$1:$H$65536,2,0)</f>
        <v>#N/A</v>
      </c>
      <c r="P76" s="144">
        <f>VLOOKUP(B:B,'10月'!B:S,18,0)</f>
        <v>5</v>
      </c>
      <c r="Q76" s="144" t="e">
        <f t="shared" si="23"/>
        <v>#N/A</v>
      </c>
      <c r="R76" s="11">
        <v>5</v>
      </c>
      <c r="S76" s="152">
        <f t="shared" si="28"/>
        <v>7</v>
      </c>
      <c r="T76" s="152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89">
        <v>75</v>
      </c>
      <c r="B77" s="89">
        <v>539</v>
      </c>
      <c r="C77" s="141" t="s">
        <v>178</v>
      </c>
      <c r="D77" s="89" t="s">
        <v>139</v>
      </c>
      <c r="E77" s="89" t="s">
        <v>169</v>
      </c>
      <c r="F77" s="122">
        <v>12</v>
      </c>
      <c r="G77" s="122">
        <f>F77*1.3</f>
        <v>15.6</v>
      </c>
      <c r="H77" s="122">
        <f t="shared" si="21"/>
        <v>16</v>
      </c>
      <c r="I77" s="122">
        <v>14</v>
      </c>
      <c r="J77" s="122">
        <v>6</v>
      </c>
      <c r="K77" s="144">
        <v>6</v>
      </c>
      <c r="L77" s="122">
        <v>40</v>
      </c>
      <c r="M77" s="123">
        <f t="shared" si="29"/>
        <v>52</v>
      </c>
      <c r="N77" s="122">
        <f t="shared" si="22"/>
        <v>52</v>
      </c>
      <c r="O77" s="144">
        <f>VLOOKUP(B:B,[3]Sheet6!$G$1:$H$65536,2,0)</f>
        <v>7</v>
      </c>
      <c r="P77" s="144">
        <f>VLOOKUP(B:B,'10月'!B:S,18,0)</f>
        <v>5</v>
      </c>
      <c r="Q77" s="144">
        <f t="shared" si="23"/>
        <v>-2</v>
      </c>
      <c r="R77" s="11">
        <v>6</v>
      </c>
      <c r="S77" s="152">
        <f t="shared" si="28"/>
        <v>8.4</v>
      </c>
      <c r="T77" s="152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89">
        <v>76</v>
      </c>
      <c r="B78" s="89">
        <v>720</v>
      </c>
      <c r="C78" s="141" t="s">
        <v>179</v>
      </c>
      <c r="D78" s="89" t="s">
        <v>113</v>
      </c>
      <c r="E78" s="89" t="s">
        <v>169</v>
      </c>
      <c r="F78" s="122">
        <v>6</v>
      </c>
      <c r="G78" s="122">
        <f>F78*1.4</f>
        <v>8.4</v>
      </c>
      <c r="H78" s="122">
        <f t="shared" si="21"/>
        <v>8</v>
      </c>
      <c r="I78" s="122">
        <v>6</v>
      </c>
      <c r="J78" s="122">
        <v>6</v>
      </c>
      <c r="K78" s="144">
        <v>0</v>
      </c>
      <c r="L78" s="122">
        <v>54</v>
      </c>
      <c r="M78" s="123">
        <f t="shared" si="29"/>
        <v>70.2</v>
      </c>
      <c r="N78" s="122">
        <f t="shared" si="22"/>
        <v>70</v>
      </c>
      <c r="O78" s="144" t="e">
        <f>VLOOKUP(B:B,[3]Sheet6!$G$1:$H$65536,2,0)</f>
        <v>#N/A</v>
      </c>
      <c r="P78" s="144">
        <f>VLOOKUP(B:B,'10月'!B:S,18,0)</f>
        <v>2</v>
      </c>
      <c r="Q78" s="144" t="e">
        <f t="shared" si="23"/>
        <v>#N/A</v>
      </c>
      <c r="R78" s="11">
        <v>2</v>
      </c>
      <c r="S78" s="152">
        <f t="shared" si="28"/>
        <v>2.8</v>
      </c>
      <c r="T78" s="152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89">
        <v>77</v>
      </c>
      <c r="B79" s="89">
        <v>594</v>
      </c>
      <c r="C79" s="141" t="s">
        <v>180</v>
      </c>
      <c r="D79" s="89" t="s">
        <v>113</v>
      </c>
      <c r="E79" s="89" t="s">
        <v>169</v>
      </c>
      <c r="F79" s="122">
        <v>7</v>
      </c>
      <c r="G79" s="122">
        <f>F79*1.4</f>
        <v>9.8</v>
      </c>
      <c r="H79" s="122">
        <f t="shared" si="21"/>
        <v>10</v>
      </c>
      <c r="I79" s="122">
        <v>7</v>
      </c>
      <c r="J79" s="122">
        <v>6</v>
      </c>
      <c r="K79" s="144">
        <v>1</v>
      </c>
      <c r="L79" s="122">
        <v>47</v>
      </c>
      <c r="M79" s="123">
        <f t="shared" si="29"/>
        <v>61.1</v>
      </c>
      <c r="N79" s="122">
        <f t="shared" si="22"/>
        <v>61</v>
      </c>
      <c r="O79" s="144">
        <f>VLOOKUP(B:B,[3]Sheet6!$G$1:$H$65536,2,0)</f>
        <v>6</v>
      </c>
      <c r="P79" s="144">
        <f>VLOOKUP(B:B,'10月'!B:S,18,0)</f>
        <v>4</v>
      </c>
      <c r="Q79" s="144">
        <f t="shared" si="23"/>
        <v>-2</v>
      </c>
      <c r="R79" s="11">
        <f t="shared" ref="R76:R85" si="30">O79</f>
        <v>6</v>
      </c>
      <c r="S79" s="152">
        <f t="shared" si="28"/>
        <v>8.4</v>
      </c>
      <c r="T79" s="152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89">
        <v>78</v>
      </c>
      <c r="B80" s="89">
        <v>549</v>
      </c>
      <c r="C80" s="141" t="s">
        <v>181</v>
      </c>
      <c r="D80" s="89" t="s">
        <v>139</v>
      </c>
      <c r="E80" s="89" t="s">
        <v>169</v>
      </c>
      <c r="F80" s="122">
        <v>12</v>
      </c>
      <c r="G80" s="122">
        <f>F80*1.3</f>
        <v>15.6</v>
      </c>
      <c r="H80" s="122">
        <f t="shared" si="21"/>
        <v>16</v>
      </c>
      <c r="I80" s="122">
        <v>18</v>
      </c>
      <c r="J80" s="122">
        <v>6</v>
      </c>
      <c r="K80" s="144">
        <v>6</v>
      </c>
      <c r="L80" s="122">
        <v>40</v>
      </c>
      <c r="M80" s="123">
        <f t="shared" si="29"/>
        <v>52</v>
      </c>
      <c r="N80" s="122">
        <f t="shared" si="22"/>
        <v>52</v>
      </c>
      <c r="O80" s="144">
        <f>VLOOKUP(B:B,[3]Sheet6!$G$1:$H$65536,2,0)</f>
        <v>18</v>
      </c>
      <c r="P80" s="144">
        <f>VLOOKUP(B:B,'10月'!B:S,18,0)</f>
        <v>6</v>
      </c>
      <c r="Q80" s="144">
        <f t="shared" si="23"/>
        <v>-12</v>
      </c>
      <c r="R80" s="11">
        <f t="shared" si="30"/>
        <v>18</v>
      </c>
      <c r="S80" s="152">
        <f>R80*1.2</f>
        <v>21.6</v>
      </c>
      <c r="T80" s="152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89">
        <v>79</v>
      </c>
      <c r="B81" s="89">
        <v>716</v>
      </c>
      <c r="C81" s="141" t="s">
        <v>182</v>
      </c>
      <c r="D81" s="89" t="s">
        <v>139</v>
      </c>
      <c r="E81" s="89" t="s">
        <v>169</v>
      </c>
      <c r="F81" s="122">
        <v>12</v>
      </c>
      <c r="G81" s="122">
        <f>F81*1.3</f>
        <v>15.6</v>
      </c>
      <c r="H81" s="122">
        <f t="shared" si="21"/>
        <v>16</v>
      </c>
      <c r="I81" s="122">
        <v>20</v>
      </c>
      <c r="J81" s="122">
        <v>6</v>
      </c>
      <c r="K81" s="144">
        <v>6</v>
      </c>
      <c r="L81" s="122">
        <v>55</v>
      </c>
      <c r="M81" s="123">
        <f t="shared" si="29"/>
        <v>71.5</v>
      </c>
      <c r="N81" s="122">
        <f t="shared" si="22"/>
        <v>72</v>
      </c>
      <c r="O81" s="144">
        <f>VLOOKUP(B:B,[3]Sheet6!$G$1:$H$65536,2,0)</f>
        <v>7</v>
      </c>
      <c r="P81" s="144">
        <f>VLOOKUP(B:B,'10月'!B:S,18,0)</f>
        <v>5</v>
      </c>
      <c r="Q81" s="144">
        <f t="shared" si="23"/>
        <v>-2</v>
      </c>
      <c r="R81" s="11">
        <f t="shared" si="30"/>
        <v>7</v>
      </c>
      <c r="S81" s="152">
        <f>R81*1.4</f>
        <v>9.8</v>
      </c>
      <c r="T81" s="152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79" customFormat="1" spans="1:28">
      <c r="A82" s="89">
        <v>80</v>
      </c>
      <c r="B82" s="89">
        <v>732</v>
      </c>
      <c r="C82" s="141" t="s">
        <v>183</v>
      </c>
      <c r="D82" s="89" t="s">
        <v>139</v>
      </c>
      <c r="E82" s="89" t="s">
        <v>169</v>
      </c>
      <c r="F82" s="122">
        <v>4</v>
      </c>
      <c r="G82" s="122">
        <f>F82*1.4</f>
        <v>5.6</v>
      </c>
      <c r="H82" s="122">
        <f t="shared" si="21"/>
        <v>6</v>
      </c>
      <c r="I82" s="122" t="e">
        <v>#N/A</v>
      </c>
      <c r="J82" s="122">
        <v>6</v>
      </c>
      <c r="K82" s="144">
        <v>-2</v>
      </c>
      <c r="L82" s="122">
        <v>61</v>
      </c>
      <c r="M82" s="123">
        <f t="shared" si="29"/>
        <v>79.3</v>
      </c>
      <c r="N82" s="122">
        <f t="shared" si="22"/>
        <v>79</v>
      </c>
      <c r="O82" s="144">
        <f>VLOOKUP(B:B,[3]Sheet6!$G$1:$H$65536,2,0)</f>
        <v>6</v>
      </c>
      <c r="P82" s="144">
        <f>VLOOKUP(B:B,'10月'!B:S,18,0)</f>
        <v>2</v>
      </c>
      <c r="Q82" s="144">
        <f t="shared" si="23"/>
        <v>-4</v>
      </c>
      <c r="R82" s="11">
        <f t="shared" si="30"/>
        <v>6</v>
      </c>
      <c r="S82" s="152">
        <f>R82*1.4</f>
        <v>8.4</v>
      </c>
      <c r="T82" s="152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89">
        <v>81</v>
      </c>
      <c r="B83" s="91">
        <v>102567</v>
      </c>
      <c r="C83" s="142" t="s">
        <v>184</v>
      </c>
      <c r="D83" s="89" t="s">
        <v>109</v>
      </c>
      <c r="E83" s="89" t="s">
        <v>185</v>
      </c>
      <c r="F83" s="122">
        <v>4</v>
      </c>
      <c r="G83" s="122">
        <f>F83*1.4</f>
        <v>5.6</v>
      </c>
      <c r="H83" s="122">
        <f t="shared" si="21"/>
        <v>6</v>
      </c>
      <c r="I83" s="122" t="e">
        <v>#N/A</v>
      </c>
      <c r="J83" s="122">
        <v>6</v>
      </c>
      <c r="K83" s="144">
        <v>-2</v>
      </c>
      <c r="L83" s="122">
        <v>40</v>
      </c>
      <c r="M83" s="123">
        <f t="shared" si="29"/>
        <v>52</v>
      </c>
      <c r="N83" s="122">
        <f t="shared" si="22"/>
        <v>52</v>
      </c>
      <c r="O83" s="144">
        <f>VLOOKUP(B:B,[3]Sheet6!$G$1:$H$65536,2,0)</f>
        <v>13</v>
      </c>
      <c r="P83" s="144">
        <f>VLOOKUP(B:B,'10月'!B:S,18,0)</f>
        <v>4</v>
      </c>
      <c r="Q83" s="144">
        <f t="shared" si="23"/>
        <v>-9</v>
      </c>
      <c r="R83" s="11">
        <f t="shared" si="30"/>
        <v>13</v>
      </c>
      <c r="S83" s="152">
        <f>R83*1.2</f>
        <v>15.6</v>
      </c>
      <c r="T83" s="152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89">
        <v>82</v>
      </c>
      <c r="B84" s="91">
        <v>104533</v>
      </c>
      <c r="C84" s="143" t="s">
        <v>186</v>
      </c>
      <c r="D84" s="92"/>
      <c r="E84" s="92" t="s">
        <v>185</v>
      </c>
      <c r="F84" s="122">
        <v>4</v>
      </c>
      <c r="G84" s="122">
        <f>F84*1.4</f>
        <v>5.6</v>
      </c>
      <c r="H84" s="122">
        <f t="shared" si="21"/>
        <v>6</v>
      </c>
      <c r="I84" s="122" t="e">
        <v>#N/A</v>
      </c>
      <c r="J84" s="122" t="e">
        <v>#N/A</v>
      </c>
      <c r="K84" s="144" t="e">
        <v>#N/A</v>
      </c>
      <c r="L84" s="122">
        <v>40</v>
      </c>
      <c r="M84" s="123">
        <f t="shared" si="29"/>
        <v>52</v>
      </c>
      <c r="N84" s="122">
        <f t="shared" si="22"/>
        <v>52</v>
      </c>
      <c r="O84" s="144" t="e">
        <f>VLOOKUP(B:B,[3]Sheet6!$G$1:$H$65536,2,0)</f>
        <v>#N/A</v>
      </c>
      <c r="P84" s="144" t="e">
        <f>VLOOKUP(B:B,'10月'!B:S,18,0)</f>
        <v>#N/A</v>
      </c>
      <c r="Q84" s="144" t="e">
        <f t="shared" si="23"/>
        <v>#N/A</v>
      </c>
      <c r="R84" s="11">
        <v>4</v>
      </c>
      <c r="S84" s="152">
        <f>R84*1.4</f>
        <v>5.6</v>
      </c>
      <c r="T84" s="152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89">
        <v>83</v>
      </c>
      <c r="B85" s="89">
        <v>367</v>
      </c>
      <c r="C85" s="141" t="s">
        <v>187</v>
      </c>
      <c r="D85" s="89" t="s">
        <v>109</v>
      </c>
      <c r="E85" s="89" t="s">
        <v>188</v>
      </c>
      <c r="F85" s="122">
        <v>14</v>
      </c>
      <c r="G85" s="122">
        <f t="shared" ref="G85:G93" si="31">F85*1.3</f>
        <v>18.2</v>
      </c>
      <c r="H85" s="122">
        <f t="shared" si="21"/>
        <v>18</v>
      </c>
      <c r="I85" s="122">
        <v>13</v>
      </c>
      <c r="J85" s="122">
        <v>17</v>
      </c>
      <c r="K85" s="144">
        <v>-3</v>
      </c>
      <c r="L85" s="122">
        <v>113</v>
      </c>
      <c r="M85" s="122">
        <f>L85*1.18</f>
        <v>133.34</v>
      </c>
      <c r="N85" s="122">
        <f t="shared" si="22"/>
        <v>133</v>
      </c>
      <c r="O85" s="144">
        <f>VLOOKUP(B:B,[3]Sheet6!$G$1:$H$65536,2,0)</f>
        <v>12</v>
      </c>
      <c r="P85" s="144">
        <f>VLOOKUP(B:B,'10月'!B:S,18,0)</f>
        <v>10</v>
      </c>
      <c r="Q85" s="144">
        <f t="shared" si="23"/>
        <v>-2</v>
      </c>
      <c r="R85" s="11">
        <f t="shared" si="30"/>
        <v>12</v>
      </c>
      <c r="S85" s="152">
        <f>R85*1.2</f>
        <v>14.4</v>
      </c>
      <c r="T85" s="152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89">
        <v>84</v>
      </c>
      <c r="B86" s="89">
        <v>54</v>
      </c>
      <c r="C86" s="141" t="s">
        <v>189</v>
      </c>
      <c r="D86" s="89" t="s">
        <v>104</v>
      </c>
      <c r="E86" s="89" t="s">
        <v>188</v>
      </c>
      <c r="F86" s="122">
        <v>14</v>
      </c>
      <c r="G86" s="122">
        <f t="shared" si="31"/>
        <v>18.2</v>
      </c>
      <c r="H86" s="122">
        <f t="shared" si="21"/>
        <v>18</v>
      </c>
      <c r="I86" s="122">
        <v>3</v>
      </c>
      <c r="J86" s="122">
        <v>17</v>
      </c>
      <c r="K86" s="144">
        <v>-3</v>
      </c>
      <c r="L86" s="122">
        <v>170</v>
      </c>
      <c r="M86" s="122">
        <f>L86*1.13</f>
        <v>192.1</v>
      </c>
      <c r="N86" s="122">
        <f t="shared" si="22"/>
        <v>192</v>
      </c>
      <c r="O86" s="144">
        <f>VLOOKUP(B:B,[3]Sheet6!$G$1:$H$65536,2,0)</f>
        <v>14</v>
      </c>
      <c r="P86" s="144">
        <f>VLOOKUP(B:B,'10月'!B:S,18,0)</f>
        <v>24</v>
      </c>
      <c r="Q86" s="144">
        <f t="shared" si="23"/>
        <v>10</v>
      </c>
      <c r="R86" s="11">
        <v>24</v>
      </c>
      <c r="S86" s="152">
        <f>R86*1.15</f>
        <v>27.6</v>
      </c>
      <c r="T86" s="152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89">
        <v>85</v>
      </c>
      <c r="B87" s="89">
        <v>52</v>
      </c>
      <c r="C87" s="141" t="s">
        <v>190</v>
      </c>
      <c r="D87" s="89" t="s">
        <v>104</v>
      </c>
      <c r="E87" s="89" t="s">
        <v>188</v>
      </c>
      <c r="F87" s="122">
        <v>14</v>
      </c>
      <c r="G87" s="122">
        <f t="shared" si="31"/>
        <v>18.2</v>
      </c>
      <c r="H87" s="122">
        <f t="shared" si="21"/>
        <v>18</v>
      </c>
      <c r="I87" s="122">
        <v>3</v>
      </c>
      <c r="J87" s="122">
        <v>17</v>
      </c>
      <c r="K87" s="144">
        <v>-3</v>
      </c>
      <c r="L87" s="122">
        <v>80</v>
      </c>
      <c r="M87" s="123">
        <f t="shared" ref="M87:M102" si="33">L87*1.3</f>
        <v>104</v>
      </c>
      <c r="N87" s="122">
        <f t="shared" si="22"/>
        <v>104</v>
      </c>
      <c r="O87" s="144">
        <f>VLOOKUP(B:B,[3]Sheet6!$G$1:$H$65536,2,0)</f>
        <v>13</v>
      </c>
      <c r="P87" s="144">
        <f>VLOOKUP(B:B,'10月'!B:S,18,0)</f>
        <v>15</v>
      </c>
      <c r="Q87" s="144">
        <f t="shared" si="23"/>
        <v>2</v>
      </c>
      <c r="R87" s="11">
        <v>15</v>
      </c>
      <c r="S87" s="152">
        <f>R87*1.2</f>
        <v>18</v>
      </c>
      <c r="T87" s="152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89">
        <v>86</v>
      </c>
      <c r="B88" s="89">
        <v>587</v>
      </c>
      <c r="C88" s="141" t="s">
        <v>191</v>
      </c>
      <c r="D88" s="89" t="s">
        <v>104</v>
      </c>
      <c r="E88" s="89" t="s">
        <v>188</v>
      </c>
      <c r="F88" s="122">
        <v>15</v>
      </c>
      <c r="G88" s="122">
        <f t="shared" si="31"/>
        <v>19.5</v>
      </c>
      <c r="H88" s="122">
        <f t="shared" si="21"/>
        <v>20</v>
      </c>
      <c r="I88" s="122">
        <v>14</v>
      </c>
      <c r="J88" s="122">
        <v>17</v>
      </c>
      <c r="K88" s="144">
        <v>-2</v>
      </c>
      <c r="L88" s="122">
        <v>95</v>
      </c>
      <c r="M88" s="123">
        <f t="shared" si="33"/>
        <v>123.5</v>
      </c>
      <c r="N88" s="122">
        <f t="shared" si="22"/>
        <v>124</v>
      </c>
      <c r="O88" s="144">
        <f>VLOOKUP(B:B,[3]Sheet6!$G$1:$H$65536,2,0)</f>
        <v>9</v>
      </c>
      <c r="P88" s="144">
        <f>VLOOKUP(B:B,'10月'!B:S,18,0)</f>
        <v>16</v>
      </c>
      <c r="Q88" s="144">
        <f t="shared" si="23"/>
        <v>7</v>
      </c>
      <c r="R88" s="11">
        <v>12</v>
      </c>
      <c r="S88" s="152">
        <f>R88*1.2</f>
        <v>14.4</v>
      </c>
      <c r="T88" s="152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89">
        <v>87</v>
      </c>
      <c r="B89" s="89">
        <v>329</v>
      </c>
      <c r="C89" s="141" t="s">
        <v>192</v>
      </c>
      <c r="D89" s="89" t="s">
        <v>95</v>
      </c>
      <c r="E89" s="89" t="s">
        <v>188</v>
      </c>
      <c r="F89" s="122">
        <v>16</v>
      </c>
      <c r="G89" s="122">
        <f t="shared" si="31"/>
        <v>20.8</v>
      </c>
      <c r="H89" s="122">
        <f t="shared" si="21"/>
        <v>21</v>
      </c>
      <c r="I89" s="122" t="e">
        <v>#N/A</v>
      </c>
      <c r="J89" s="122">
        <v>20</v>
      </c>
      <c r="K89" s="144">
        <v>-4</v>
      </c>
      <c r="L89" s="122">
        <v>78</v>
      </c>
      <c r="M89" s="123">
        <f t="shared" si="33"/>
        <v>101.4</v>
      </c>
      <c r="N89" s="122">
        <f t="shared" si="22"/>
        <v>101</v>
      </c>
      <c r="O89" s="144">
        <f>VLOOKUP(B:B,[3]Sheet6!$G$1:$H$65536,2,0)</f>
        <v>25</v>
      </c>
      <c r="P89" s="144">
        <f>VLOOKUP(B:B,'10月'!B:S,18,0)</f>
        <v>27</v>
      </c>
      <c r="Q89" s="144">
        <f t="shared" si="23"/>
        <v>2</v>
      </c>
      <c r="R89" s="11">
        <v>27</v>
      </c>
      <c r="S89" s="152">
        <f>R89*1.15</f>
        <v>31.05</v>
      </c>
      <c r="T89" s="152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89">
        <v>88</v>
      </c>
      <c r="B90" s="89">
        <v>754</v>
      </c>
      <c r="C90" s="141" t="s">
        <v>193</v>
      </c>
      <c r="D90" s="89" t="s">
        <v>139</v>
      </c>
      <c r="E90" s="89" t="s">
        <v>188</v>
      </c>
      <c r="F90" s="122">
        <v>15</v>
      </c>
      <c r="G90" s="122">
        <f t="shared" si="31"/>
        <v>19.5</v>
      </c>
      <c r="H90" s="122">
        <f t="shared" si="21"/>
        <v>20</v>
      </c>
      <c r="I90" s="122">
        <v>15</v>
      </c>
      <c r="J90" s="122">
        <v>12</v>
      </c>
      <c r="K90" s="144">
        <v>3</v>
      </c>
      <c r="L90" s="122">
        <v>86</v>
      </c>
      <c r="M90" s="123">
        <f t="shared" si="33"/>
        <v>111.8</v>
      </c>
      <c r="N90" s="122">
        <f t="shared" si="22"/>
        <v>112</v>
      </c>
      <c r="O90" s="144">
        <f>VLOOKUP(B:B,[3]Sheet6!$G$1:$H$65536,2,0)</f>
        <v>6</v>
      </c>
      <c r="P90" s="144">
        <f>VLOOKUP(B:B,'10月'!B:S,18,0)</f>
        <v>2</v>
      </c>
      <c r="Q90" s="144">
        <f t="shared" si="23"/>
        <v>-4</v>
      </c>
      <c r="R90" s="11">
        <f>O90</f>
        <v>6</v>
      </c>
      <c r="S90" s="152">
        <f>R90*1.4</f>
        <v>8.4</v>
      </c>
      <c r="T90" s="152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89">
        <v>89</v>
      </c>
      <c r="B91" s="89">
        <v>704</v>
      </c>
      <c r="C91" s="141" t="s">
        <v>194</v>
      </c>
      <c r="D91" s="89" t="s">
        <v>107</v>
      </c>
      <c r="E91" s="89" t="s">
        <v>188</v>
      </c>
      <c r="F91" s="122">
        <v>17</v>
      </c>
      <c r="G91" s="122">
        <f t="shared" si="31"/>
        <v>22.1</v>
      </c>
      <c r="H91" s="122">
        <f t="shared" si="21"/>
        <v>22</v>
      </c>
      <c r="I91" s="122">
        <v>18</v>
      </c>
      <c r="J91" s="122">
        <v>17</v>
      </c>
      <c r="K91" s="144">
        <v>0</v>
      </c>
      <c r="L91" s="122">
        <v>71</v>
      </c>
      <c r="M91" s="123">
        <f t="shared" si="33"/>
        <v>92.3</v>
      </c>
      <c r="N91" s="122">
        <f t="shared" si="22"/>
        <v>92</v>
      </c>
      <c r="O91" s="144">
        <f>VLOOKUP(B:B,[3]Sheet6!$G$1:$H$65536,2,0)</f>
        <v>10</v>
      </c>
      <c r="P91" s="144">
        <f>VLOOKUP(B:B,'10月'!B:S,18,0)</f>
        <v>4</v>
      </c>
      <c r="Q91" s="144">
        <f t="shared" si="23"/>
        <v>-6</v>
      </c>
      <c r="R91" s="11">
        <f>O91</f>
        <v>10</v>
      </c>
      <c r="S91" s="152">
        <f>R91*1.4</f>
        <v>14</v>
      </c>
      <c r="T91" s="152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89">
        <v>90</v>
      </c>
      <c r="B92" s="89">
        <v>56</v>
      </c>
      <c r="C92" s="141" t="s">
        <v>195</v>
      </c>
      <c r="D92" s="89" t="s">
        <v>139</v>
      </c>
      <c r="E92" s="89" t="s">
        <v>188</v>
      </c>
      <c r="F92" s="122">
        <v>12</v>
      </c>
      <c r="G92" s="122">
        <f t="shared" si="31"/>
        <v>15.6</v>
      </c>
      <c r="H92" s="122">
        <f t="shared" si="21"/>
        <v>16</v>
      </c>
      <c r="I92" s="122">
        <v>14</v>
      </c>
      <c r="J92" s="122">
        <v>6</v>
      </c>
      <c r="K92" s="144">
        <v>6</v>
      </c>
      <c r="L92" s="122">
        <v>90</v>
      </c>
      <c r="M92" s="123">
        <f t="shared" si="33"/>
        <v>117</v>
      </c>
      <c r="N92" s="122">
        <f t="shared" si="22"/>
        <v>117</v>
      </c>
      <c r="O92" s="144">
        <f>VLOOKUP(B:B,[3]Sheet6!$G$1:$H$65536,2,0)</f>
        <v>9</v>
      </c>
      <c r="P92" s="144">
        <f>VLOOKUP(B:B,'10月'!B:S,18,0)</f>
        <v>11</v>
      </c>
      <c r="Q92" s="144">
        <f t="shared" si="23"/>
        <v>2</v>
      </c>
      <c r="R92" s="11">
        <v>11</v>
      </c>
      <c r="S92" s="152">
        <f>R92*1.2</f>
        <v>13.2</v>
      </c>
      <c r="T92" s="152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89">
        <v>91</v>
      </c>
      <c r="B93" s="89">
        <v>351</v>
      </c>
      <c r="C93" s="141" t="s">
        <v>196</v>
      </c>
      <c r="D93" s="89" t="s">
        <v>104</v>
      </c>
      <c r="E93" s="89" t="s">
        <v>188</v>
      </c>
      <c r="F93" s="122">
        <v>14</v>
      </c>
      <c r="G93" s="122">
        <f t="shared" si="31"/>
        <v>18.2</v>
      </c>
      <c r="H93" s="122">
        <f t="shared" si="21"/>
        <v>18</v>
      </c>
      <c r="I93" s="122">
        <v>3</v>
      </c>
      <c r="J93" s="122">
        <v>17</v>
      </c>
      <c r="K93" s="144">
        <v>-3</v>
      </c>
      <c r="L93" s="122">
        <v>58</v>
      </c>
      <c r="M93" s="123">
        <f t="shared" si="33"/>
        <v>75.4</v>
      </c>
      <c r="N93" s="122">
        <f t="shared" si="22"/>
        <v>75</v>
      </c>
      <c r="O93" s="144">
        <f>VLOOKUP(B:B,[3]Sheet6!$G$1:$H$65536,2,0)</f>
        <v>6</v>
      </c>
      <c r="P93" s="144">
        <f>VLOOKUP(B:B,'10月'!B:S,18,0)</f>
        <v>5</v>
      </c>
      <c r="Q93" s="144">
        <f t="shared" si="23"/>
        <v>-1</v>
      </c>
      <c r="R93" s="11">
        <f>O93</f>
        <v>6</v>
      </c>
      <c r="S93" s="152">
        <f>R93*1.4</f>
        <v>8.4</v>
      </c>
      <c r="T93" s="152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89">
        <v>92</v>
      </c>
      <c r="B94" s="89">
        <v>706</v>
      </c>
      <c r="C94" s="141" t="s">
        <v>197</v>
      </c>
      <c r="D94" s="89" t="s">
        <v>113</v>
      </c>
      <c r="E94" s="89" t="s">
        <v>188</v>
      </c>
      <c r="F94" s="122">
        <v>4</v>
      </c>
      <c r="G94" s="122">
        <f>F94*1.4</f>
        <v>5.6</v>
      </c>
      <c r="H94" s="122">
        <f t="shared" si="21"/>
        <v>6</v>
      </c>
      <c r="I94" s="122">
        <v>1</v>
      </c>
      <c r="J94" s="122">
        <v>6</v>
      </c>
      <c r="K94" s="144">
        <v>-2</v>
      </c>
      <c r="L94" s="122">
        <v>40</v>
      </c>
      <c r="M94" s="123">
        <f t="shared" si="33"/>
        <v>52</v>
      </c>
      <c r="N94" s="122">
        <f t="shared" si="22"/>
        <v>52</v>
      </c>
      <c r="O94" s="144">
        <f>VLOOKUP(B:B,[3]Sheet6!$G$1:$H$65536,2,0)</f>
        <v>1</v>
      </c>
      <c r="P94" s="144">
        <f>VLOOKUP(B:B,'10月'!B:S,18,0)</f>
        <v>11</v>
      </c>
      <c r="Q94" s="144">
        <f t="shared" si="23"/>
        <v>10</v>
      </c>
      <c r="R94" s="11">
        <v>11</v>
      </c>
      <c r="S94" s="152">
        <f>R94*1.2</f>
        <v>13.2</v>
      </c>
      <c r="T94" s="152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89">
        <v>93</v>
      </c>
      <c r="B95" s="89">
        <v>710</v>
      </c>
      <c r="C95" s="141" t="s">
        <v>198</v>
      </c>
      <c r="D95" s="89" t="s">
        <v>113</v>
      </c>
      <c r="E95" s="89" t="s">
        <v>188</v>
      </c>
      <c r="F95" s="122">
        <v>9</v>
      </c>
      <c r="G95" s="122">
        <f>F95*1.4</f>
        <v>12.6</v>
      </c>
      <c r="H95" s="122">
        <f t="shared" si="21"/>
        <v>13</v>
      </c>
      <c r="I95" s="122">
        <v>9</v>
      </c>
      <c r="J95" s="122">
        <v>6</v>
      </c>
      <c r="K95" s="144">
        <v>3</v>
      </c>
      <c r="L95" s="122">
        <v>76</v>
      </c>
      <c r="M95" s="123">
        <f t="shared" si="33"/>
        <v>98.8</v>
      </c>
      <c r="N95" s="122">
        <f t="shared" si="22"/>
        <v>99</v>
      </c>
      <c r="O95" s="144">
        <f>VLOOKUP(B:B,[3]Sheet6!$G$1:$H$65536,2,0)</f>
        <v>7</v>
      </c>
      <c r="P95" s="144">
        <f>VLOOKUP(B:B,'10月'!B:S,18,0)</f>
        <v>2</v>
      </c>
      <c r="Q95" s="144">
        <f t="shared" si="23"/>
        <v>-5</v>
      </c>
      <c r="R95" s="11">
        <f>O95</f>
        <v>7</v>
      </c>
      <c r="S95" s="152">
        <f t="shared" ref="S95:S102" si="34">R95*1.4</f>
        <v>9.8</v>
      </c>
      <c r="T95" s="152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89">
        <v>94</v>
      </c>
      <c r="B96" s="89">
        <v>738</v>
      </c>
      <c r="C96" s="141" t="s">
        <v>199</v>
      </c>
      <c r="D96" s="89" t="s">
        <v>139</v>
      </c>
      <c r="E96" s="89" t="s">
        <v>188</v>
      </c>
      <c r="F96" s="122">
        <v>10</v>
      </c>
      <c r="G96" s="122">
        <f>F96*1.3</f>
        <v>13</v>
      </c>
      <c r="H96" s="122">
        <f t="shared" si="21"/>
        <v>13</v>
      </c>
      <c r="I96" s="122">
        <v>10</v>
      </c>
      <c r="J96" s="122">
        <v>6</v>
      </c>
      <c r="K96" s="144">
        <v>4</v>
      </c>
      <c r="L96" s="122">
        <v>70</v>
      </c>
      <c r="M96" s="123">
        <f t="shared" si="33"/>
        <v>91</v>
      </c>
      <c r="N96" s="122">
        <f t="shared" si="22"/>
        <v>91</v>
      </c>
      <c r="O96" s="144">
        <f>VLOOKUP(B:B,[3]Sheet6!$G$1:$H$65536,2,0)</f>
        <v>8</v>
      </c>
      <c r="P96" s="144">
        <f>VLOOKUP(B:B,'10月'!B:S,18,0)</f>
        <v>7</v>
      </c>
      <c r="Q96" s="144">
        <f t="shared" si="23"/>
        <v>-1</v>
      </c>
      <c r="R96" s="11">
        <f>O96</f>
        <v>8</v>
      </c>
      <c r="S96" s="152">
        <f t="shared" si="34"/>
        <v>11.2</v>
      </c>
      <c r="T96" s="152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89">
        <v>95</v>
      </c>
      <c r="B97" s="89">
        <v>755</v>
      </c>
      <c r="C97" s="142" t="s">
        <v>200</v>
      </c>
      <c r="D97" s="89" t="s">
        <v>113</v>
      </c>
      <c r="E97" s="89" t="s">
        <v>188</v>
      </c>
      <c r="F97" s="122">
        <v>5</v>
      </c>
      <c r="G97" s="122">
        <f>F97*1.4</f>
        <v>7</v>
      </c>
      <c r="H97" s="122">
        <f t="shared" si="21"/>
        <v>7</v>
      </c>
      <c r="I97" s="122">
        <v>4</v>
      </c>
      <c r="J97" s="122">
        <v>6</v>
      </c>
      <c r="K97" s="144">
        <v>-1</v>
      </c>
      <c r="L97" s="122">
        <v>30</v>
      </c>
      <c r="M97" s="123">
        <f t="shared" si="33"/>
        <v>39</v>
      </c>
      <c r="N97" s="122">
        <f t="shared" si="22"/>
        <v>39</v>
      </c>
      <c r="O97" s="144" t="e">
        <f>VLOOKUP(B:B,[3]Sheet6!$G$1:$H$65536,2,0)</f>
        <v>#N/A</v>
      </c>
      <c r="P97" s="144">
        <f>VLOOKUP(B:B,'10月'!B:S,18,0)</f>
        <v>2</v>
      </c>
      <c r="Q97" s="144" t="e">
        <f t="shared" si="23"/>
        <v>#N/A</v>
      </c>
      <c r="R97" s="11">
        <v>2</v>
      </c>
      <c r="S97" s="152">
        <f t="shared" si="34"/>
        <v>2.8</v>
      </c>
      <c r="T97" s="152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89">
        <v>96</v>
      </c>
      <c r="B98" s="89">
        <v>713</v>
      </c>
      <c r="C98" s="141" t="s">
        <v>201</v>
      </c>
      <c r="D98" s="89" t="s">
        <v>113</v>
      </c>
      <c r="E98" s="89" t="s">
        <v>188</v>
      </c>
      <c r="F98" s="122">
        <v>7</v>
      </c>
      <c r="G98" s="122">
        <f>F98*1.4</f>
        <v>9.8</v>
      </c>
      <c r="H98" s="122">
        <f t="shared" si="21"/>
        <v>10</v>
      </c>
      <c r="I98" s="122">
        <v>7</v>
      </c>
      <c r="J98" s="122">
        <v>6</v>
      </c>
      <c r="K98" s="144">
        <v>1</v>
      </c>
      <c r="L98" s="122">
        <v>47</v>
      </c>
      <c r="M98" s="123">
        <f t="shared" si="33"/>
        <v>61.1</v>
      </c>
      <c r="N98" s="122">
        <f t="shared" si="22"/>
        <v>61</v>
      </c>
      <c r="O98" s="144">
        <f>VLOOKUP(B:B,[3]Sheet6!$G$1:$H$65536,2,0)</f>
        <v>2</v>
      </c>
      <c r="P98" s="144">
        <f>VLOOKUP(B:B,'10月'!B:S,18,0)</f>
        <v>2</v>
      </c>
      <c r="Q98" s="144">
        <f t="shared" si="23"/>
        <v>0</v>
      </c>
      <c r="R98" s="11">
        <v>2</v>
      </c>
      <c r="S98" s="152">
        <f t="shared" si="34"/>
        <v>2.8</v>
      </c>
      <c r="T98" s="152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89">
        <v>97</v>
      </c>
      <c r="B99" s="91">
        <v>104428</v>
      </c>
      <c r="C99" s="143" t="s">
        <v>202</v>
      </c>
      <c r="D99" s="92"/>
      <c r="E99" s="91" t="str">
        <f>VLOOKUP(B:B,[2]查询时间段分门店销售汇总!$D$1:$H$65536,5,0)</f>
        <v>城郊二片区</v>
      </c>
      <c r="F99" s="122">
        <v>10</v>
      </c>
      <c r="G99" s="122">
        <f>F99*1.3</f>
        <v>13</v>
      </c>
      <c r="H99" s="122">
        <f t="shared" si="21"/>
        <v>13</v>
      </c>
      <c r="I99" s="122">
        <v>10</v>
      </c>
      <c r="J99" s="122" t="e">
        <v>#N/A</v>
      </c>
      <c r="K99" s="144" t="e">
        <v>#N/A</v>
      </c>
      <c r="L99" s="122">
        <v>40</v>
      </c>
      <c r="M99" s="123">
        <f t="shared" si="33"/>
        <v>52</v>
      </c>
      <c r="N99" s="122">
        <f t="shared" si="22"/>
        <v>52</v>
      </c>
      <c r="O99" s="144" t="e">
        <f>VLOOKUP(B:B,[3]Sheet6!$G$1:$H$65536,2,0)</f>
        <v>#N/A</v>
      </c>
      <c r="P99" s="144" t="e">
        <f>VLOOKUP(B:B,'10月'!B:S,18,0)</f>
        <v>#N/A</v>
      </c>
      <c r="Q99" s="144" t="e">
        <f t="shared" si="23"/>
        <v>#N/A</v>
      </c>
      <c r="R99" s="11">
        <v>4</v>
      </c>
      <c r="S99" s="152">
        <f t="shared" si="34"/>
        <v>5.6</v>
      </c>
      <c r="T99" s="152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89">
        <v>98</v>
      </c>
      <c r="B100" s="91">
        <v>101453</v>
      </c>
      <c r="C100" s="142" t="s">
        <v>203</v>
      </c>
      <c r="D100" s="89" t="s">
        <v>109</v>
      </c>
      <c r="E100" s="89" t="s">
        <v>204</v>
      </c>
      <c r="F100" s="122">
        <v>18</v>
      </c>
      <c r="G100" s="122">
        <f>F100*1.3</f>
        <v>23.4</v>
      </c>
      <c r="H100" s="122">
        <f t="shared" si="21"/>
        <v>23</v>
      </c>
      <c r="I100" s="122">
        <v>20</v>
      </c>
      <c r="J100" s="122">
        <v>6</v>
      </c>
      <c r="K100" s="144">
        <v>12</v>
      </c>
      <c r="L100" s="122">
        <v>74</v>
      </c>
      <c r="M100" s="123">
        <f t="shared" si="33"/>
        <v>96.2</v>
      </c>
      <c r="N100" s="122">
        <f t="shared" si="22"/>
        <v>96</v>
      </c>
      <c r="O100" s="144">
        <f>VLOOKUP(B:B,[3]Sheet6!$G$1:$H$65536,2,0)</f>
        <v>4</v>
      </c>
      <c r="P100" s="144">
        <f>VLOOKUP(B:B,'10月'!B:S,18,0)</f>
        <v>9</v>
      </c>
      <c r="Q100" s="144">
        <f t="shared" si="23"/>
        <v>5</v>
      </c>
      <c r="R100" s="11">
        <v>9</v>
      </c>
      <c r="S100" s="152">
        <f t="shared" si="34"/>
        <v>12.6</v>
      </c>
      <c r="T100" s="152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89">
        <v>99</v>
      </c>
      <c r="B101" s="91">
        <v>102564</v>
      </c>
      <c r="C101" s="142" t="s">
        <v>205</v>
      </c>
      <c r="D101" s="89" t="s">
        <v>113</v>
      </c>
      <c r="E101" s="89" t="s">
        <v>204</v>
      </c>
      <c r="F101" s="122">
        <v>4</v>
      </c>
      <c r="G101" s="122">
        <f>F101*1.4</f>
        <v>5.6</v>
      </c>
      <c r="H101" s="122">
        <f t="shared" si="21"/>
        <v>6</v>
      </c>
      <c r="I101" s="122">
        <v>3</v>
      </c>
      <c r="J101" s="122">
        <v>6</v>
      </c>
      <c r="K101" s="144">
        <v>-2</v>
      </c>
      <c r="L101" s="122">
        <v>40</v>
      </c>
      <c r="M101" s="123">
        <f t="shared" si="33"/>
        <v>52</v>
      </c>
      <c r="N101" s="122">
        <f t="shared" si="22"/>
        <v>52</v>
      </c>
      <c r="O101" s="144">
        <f>VLOOKUP(B:B,[3]Sheet6!$G$1:$H$65536,2,0)</f>
        <v>7</v>
      </c>
      <c r="P101" s="144">
        <f>VLOOKUP(B:B,'10月'!B:S,18,0)</f>
        <v>3</v>
      </c>
      <c r="Q101" s="144">
        <f t="shared" si="23"/>
        <v>-4</v>
      </c>
      <c r="R101" s="11">
        <f>O101</f>
        <v>7</v>
      </c>
      <c r="S101" s="152">
        <f t="shared" si="34"/>
        <v>9.8</v>
      </c>
      <c r="T101" s="152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89">
        <v>100</v>
      </c>
      <c r="B102" s="91">
        <v>104838</v>
      </c>
      <c r="C102" s="143" t="s">
        <v>206</v>
      </c>
      <c r="D102" s="92"/>
      <c r="E102" s="92" t="s">
        <v>207</v>
      </c>
      <c r="F102" s="122">
        <v>4</v>
      </c>
      <c r="G102" s="122">
        <f>F102*1.4</f>
        <v>5.6</v>
      </c>
      <c r="H102" s="122">
        <f t="shared" si="21"/>
        <v>6</v>
      </c>
      <c r="I102" s="122" t="e">
        <v>#N/A</v>
      </c>
      <c r="J102" s="122" t="e">
        <v>#N/A</v>
      </c>
      <c r="K102" s="144" t="e">
        <v>#N/A</v>
      </c>
      <c r="L102" s="122">
        <v>40</v>
      </c>
      <c r="M102" s="123">
        <f t="shared" si="33"/>
        <v>52</v>
      </c>
      <c r="N102" s="122">
        <f t="shared" si="22"/>
        <v>52</v>
      </c>
      <c r="O102" s="144" t="e">
        <f>VLOOKUP(B:B,[3]Sheet6!$G$1:$H$65536,2,0)</f>
        <v>#N/A</v>
      </c>
      <c r="P102" s="144" t="e">
        <f>VLOOKUP(B:B,'10月'!B:S,18,0)</f>
        <v>#N/A</v>
      </c>
      <c r="Q102" s="144" t="e">
        <f t="shared" si="23"/>
        <v>#N/A</v>
      </c>
      <c r="R102" s="11">
        <v>4</v>
      </c>
      <c r="S102" s="152">
        <f t="shared" si="34"/>
        <v>5.6</v>
      </c>
      <c r="T102" s="152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27" customFormat="1" spans="1:28">
      <c r="A103" s="103"/>
      <c r="B103" s="32" t="s">
        <v>208</v>
      </c>
      <c r="C103" s="153"/>
      <c r="D103" s="32"/>
      <c r="E103" s="103"/>
      <c r="F103" s="122">
        <f>SUM(F3:F102)</f>
        <v>1560</v>
      </c>
      <c r="G103" s="122"/>
      <c r="H103" s="122">
        <f>SUM(H3:H102)</f>
        <v>1946</v>
      </c>
      <c r="I103" s="122" t="e">
        <v>#N/A</v>
      </c>
      <c r="J103" s="122">
        <v>1520</v>
      </c>
      <c r="K103" s="144">
        <v>-1520</v>
      </c>
      <c r="L103" s="122">
        <f>SUM(L3:L102)</f>
        <v>11703</v>
      </c>
      <c r="M103" s="122">
        <f>SUM(M3:M102)</f>
        <v>13717.17</v>
      </c>
      <c r="N103" s="122">
        <f>SUM(N3:N102)</f>
        <v>13716</v>
      </c>
      <c r="O103" s="144" t="e">
        <f>VLOOKUP(B:B,[3]Sheet6!$G$1:$H$65536,2,0)</f>
        <v>#N/A</v>
      </c>
      <c r="P103" s="144">
        <f>VLOOKUP(B:B,'10月'!B:S,18,0)</f>
        <v>854</v>
      </c>
      <c r="Q103" s="144" t="e">
        <f t="shared" si="23"/>
        <v>#N/A</v>
      </c>
      <c r="R103" s="11">
        <f>SUM(R3:R102)</f>
        <v>1165</v>
      </c>
      <c r="S103" s="11">
        <f>SUM(S3:S102)</f>
        <v>1451.3</v>
      </c>
      <c r="T103" s="11">
        <f>SUM(T3:T102)</f>
        <v>1454</v>
      </c>
      <c r="U103">
        <f>SUM(U3:U102)</f>
        <v>431254.57</v>
      </c>
      <c r="V103"/>
      <c r="Z103" s="27">
        <f>SUM(Z3:Z102)</f>
        <v>493986.02</v>
      </c>
      <c r="AA103"/>
      <c r="AB103" s="27">
        <f>SUM(AB3:AB102)</f>
        <v>485486.02</v>
      </c>
    </row>
    <row r="105" s="26" customFormat="1" ht="99" customHeight="1" spans="1:20">
      <c r="A105" s="154" t="s">
        <v>209</v>
      </c>
      <c r="B105" s="154"/>
      <c r="C105" s="134"/>
      <c r="D105" s="154"/>
      <c r="E105" s="154"/>
      <c r="F105" s="3"/>
      <c r="G105" s="3"/>
      <c r="H105" s="3"/>
      <c r="I105" s="3"/>
      <c r="J105" s="3"/>
      <c r="L105" s="3"/>
      <c r="M105" s="3"/>
      <c r="N105" s="3"/>
      <c r="R105" s="84"/>
      <c r="S105" s="155"/>
      <c r="T105" s="155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81" customWidth="1"/>
    <col min="2" max="2" width="6.75" style="81" customWidth="1"/>
    <col min="3" max="3" width="21.25" style="115" customWidth="1"/>
    <col min="4" max="4" width="3.625" style="81" customWidth="1"/>
    <col min="5" max="5" width="11" style="115" customWidth="1"/>
    <col min="6" max="6" width="10" style="3" customWidth="1"/>
    <col min="7" max="8" width="8.125" style="3" customWidth="1"/>
    <col min="9" max="14" width="8.125" style="116" customWidth="1"/>
    <col min="15" max="19" width="11" style="116" customWidth="1"/>
    <col min="20" max="20" width="11" style="3" customWidth="1"/>
    <col min="21" max="25" width="11" customWidth="1"/>
    <col min="26" max="27" width="11" style="117" customWidth="1"/>
    <col min="28" max="28" width="10.375"/>
  </cols>
  <sheetData>
    <row r="1" ht="18.75" spans="1:27">
      <c r="A1" s="118" t="s">
        <v>210</v>
      </c>
      <c r="B1" s="118"/>
      <c r="C1" s="118"/>
      <c r="D1" s="118"/>
      <c r="E1" s="32"/>
      <c r="F1" s="119" t="s">
        <v>24</v>
      </c>
      <c r="G1" s="120"/>
      <c r="H1" s="119" t="s">
        <v>41</v>
      </c>
      <c r="I1" s="120"/>
      <c r="J1" s="119" t="s">
        <v>45</v>
      </c>
      <c r="K1" s="120"/>
      <c r="L1" s="119" t="s">
        <v>47</v>
      </c>
      <c r="M1" s="120"/>
      <c r="N1" s="124"/>
      <c r="O1" s="125" t="s">
        <v>211</v>
      </c>
      <c r="P1" s="126"/>
      <c r="Q1" s="128" t="s">
        <v>212</v>
      </c>
      <c r="R1" s="129"/>
      <c r="S1" s="130"/>
      <c r="T1" s="119" t="s">
        <v>69</v>
      </c>
      <c r="U1" s="120"/>
      <c r="V1" s="119" t="s">
        <v>213</v>
      </c>
      <c r="W1" s="120"/>
      <c r="X1" s="119" t="s">
        <v>67</v>
      </c>
      <c r="Y1" s="120"/>
      <c r="Z1" s="119" t="s">
        <v>73</v>
      </c>
      <c r="AA1" s="120"/>
    </row>
    <row r="2" s="26" customFormat="1" ht="24" spans="1:27">
      <c r="A2" s="28" t="s">
        <v>214</v>
      </c>
      <c r="B2" s="28" t="s">
        <v>78</v>
      </c>
      <c r="C2" s="28" t="s">
        <v>79</v>
      </c>
      <c r="D2" s="28" t="s">
        <v>80</v>
      </c>
      <c r="E2" s="28" t="s">
        <v>81</v>
      </c>
      <c r="F2" s="121" t="s">
        <v>20</v>
      </c>
      <c r="G2" s="121" t="s">
        <v>21</v>
      </c>
      <c r="H2" s="121" t="s">
        <v>20</v>
      </c>
      <c r="I2" s="121" t="s">
        <v>21</v>
      </c>
      <c r="J2" s="121" t="s">
        <v>20</v>
      </c>
      <c r="K2" s="121" t="s">
        <v>21</v>
      </c>
      <c r="L2" s="121" t="s">
        <v>20</v>
      </c>
      <c r="M2" s="121" t="s">
        <v>21</v>
      </c>
      <c r="N2" s="121"/>
      <c r="O2" s="121" t="s">
        <v>20</v>
      </c>
      <c r="P2" s="121" t="s">
        <v>21</v>
      </c>
      <c r="Q2" s="121" t="s">
        <v>20</v>
      </c>
      <c r="R2" s="121" t="s">
        <v>21</v>
      </c>
      <c r="S2" s="121"/>
      <c r="T2" s="121" t="s">
        <v>20</v>
      </c>
      <c r="U2" s="121" t="s">
        <v>21</v>
      </c>
      <c r="V2" s="121" t="s">
        <v>20</v>
      </c>
      <c r="W2" s="121" t="s">
        <v>21</v>
      </c>
      <c r="X2" s="121" t="s">
        <v>20</v>
      </c>
      <c r="Y2" s="121" t="s">
        <v>21</v>
      </c>
      <c r="Z2" s="131" t="s">
        <v>20</v>
      </c>
      <c r="AA2" s="131" t="s">
        <v>21</v>
      </c>
    </row>
    <row r="3" spans="1:28">
      <c r="A3" s="89">
        <v>1</v>
      </c>
      <c r="B3" s="89">
        <v>307</v>
      </c>
      <c r="C3" s="89" t="s">
        <v>123</v>
      </c>
      <c r="D3" s="89" t="s">
        <v>124</v>
      </c>
      <c r="E3" s="89" t="s">
        <v>125</v>
      </c>
      <c r="F3" s="122">
        <v>151</v>
      </c>
      <c r="G3" s="122">
        <v>166</v>
      </c>
      <c r="H3" s="122">
        <v>210</v>
      </c>
      <c r="I3" s="127">
        <v>216</v>
      </c>
      <c r="J3" s="127">
        <v>227</v>
      </c>
      <c r="K3" s="127">
        <v>241</v>
      </c>
      <c r="L3" s="127">
        <v>21</v>
      </c>
      <c r="M3" s="127">
        <v>27</v>
      </c>
      <c r="N3" s="127">
        <f>H3+J3+L3</f>
        <v>458</v>
      </c>
      <c r="O3" s="127">
        <v>6</v>
      </c>
      <c r="P3" s="127">
        <v>9</v>
      </c>
      <c r="Q3" s="127">
        <v>105</v>
      </c>
      <c r="R3" s="127">
        <v>116</v>
      </c>
      <c r="S3" s="127">
        <f>O3+Q3</f>
        <v>111</v>
      </c>
      <c r="T3" s="122">
        <v>1920.6</v>
      </c>
      <c r="U3" s="122">
        <v>2304.72</v>
      </c>
      <c r="V3" s="122">
        <v>2520.02</v>
      </c>
      <c r="W3" s="122">
        <v>2646</v>
      </c>
      <c r="X3" s="122">
        <v>6175.94</v>
      </c>
      <c r="Y3" s="122">
        <v>6794</v>
      </c>
      <c r="Z3" s="132">
        <v>31189.01</v>
      </c>
      <c r="AA3" s="132">
        <v>32748.46</v>
      </c>
      <c r="AB3">
        <f>Z3+X3+T3</f>
        <v>39285.55</v>
      </c>
    </row>
    <row r="4" spans="1:28">
      <c r="A4" s="89">
        <v>2</v>
      </c>
      <c r="B4" s="89">
        <v>343</v>
      </c>
      <c r="C4" s="89" t="s">
        <v>91</v>
      </c>
      <c r="D4" s="89" t="s">
        <v>92</v>
      </c>
      <c r="E4" s="89" t="s">
        <v>93</v>
      </c>
      <c r="F4" s="122">
        <v>27</v>
      </c>
      <c r="G4" s="122">
        <v>35</v>
      </c>
      <c r="H4" s="122">
        <v>45</v>
      </c>
      <c r="I4" s="127">
        <v>52</v>
      </c>
      <c r="J4" s="127">
        <v>178</v>
      </c>
      <c r="K4" s="127">
        <v>195</v>
      </c>
      <c r="L4" s="127">
        <v>7</v>
      </c>
      <c r="M4" s="127">
        <v>9</v>
      </c>
      <c r="N4" s="127">
        <f t="shared" ref="N4:N35" si="0">H4+J4+L4</f>
        <v>230</v>
      </c>
      <c r="O4" s="127">
        <v>2</v>
      </c>
      <c r="P4" s="127">
        <v>3</v>
      </c>
      <c r="Q4" s="127">
        <v>11</v>
      </c>
      <c r="R4" s="127">
        <v>17</v>
      </c>
      <c r="S4" s="127">
        <f t="shared" ref="S4:S35" si="1">O4+Q4</f>
        <v>13</v>
      </c>
      <c r="T4" s="122">
        <v>594</v>
      </c>
      <c r="U4" s="122">
        <v>831.6</v>
      </c>
      <c r="V4" s="122">
        <v>2049.54</v>
      </c>
      <c r="W4" s="122">
        <v>2152</v>
      </c>
      <c r="X4" s="122">
        <v>1908.39</v>
      </c>
      <c r="Y4" s="122">
        <v>2099</v>
      </c>
      <c r="Z4" s="132">
        <v>5775.99</v>
      </c>
      <c r="AA4" s="132">
        <v>6064.79</v>
      </c>
      <c r="AB4">
        <f t="shared" ref="AB4:AB35" si="2">Z4+X4+T4</f>
        <v>8278.38</v>
      </c>
    </row>
    <row r="5" s="79" customFormat="1" spans="1:28">
      <c r="A5" s="90">
        <v>3</v>
      </c>
      <c r="B5" s="90">
        <v>341</v>
      </c>
      <c r="C5" s="90" t="s">
        <v>168</v>
      </c>
      <c r="D5" s="90" t="s">
        <v>92</v>
      </c>
      <c r="E5" s="90" t="s">
        <v>169</v>
      </c>
      <c r="F5" s="123">
        <v>27</v>
      </c>
      <c r="G5" s="123">
        <v>35</v>
      </c>
      <c r="H5" s="122">
        <v>45</v>
      </c>
      <c r="I5" s="127">
        <v>52</v>
      </c>
      <c r="J5" s="127">
        <v>48</v>
      </c>
      <c r="K5" s="127">
        <v>55</v>
      </c>
      <c r="L5" s="127">
        <v>8</v>
      </c>
      <c r="M5" s="127">
        <v>10</v>
      </c>
      <c r="N5" s="127">
        <f t="shared" si="0"/>
        <v>101</v>
      </c>
      <c r="O5" s="127">
        <v>2</v>
      </c>
      <c r="P5" s="127">
        <v>3</v>
      </c>
      <c r="Q5" s="127">
        <v>14</v>
      </c>
      <c r="R5" s="127">
        <v>18</v>
      </c>
      <c r="S5" s="127">
        <f t="shared" si="1"/>
        <v>16</v>
      </c>
      <c r="T5" s="122">
        <v>2406.3</v>
      </c>
      <c r="U5" s="122">
        <v>2887.56</v>
      </c>
      <c r="V5" s="122">
        <v>4542.1</v>
      </c>
      <c r="W5" s="122">
        <v>4769.2</v>
      </c>
      <c r="X5" s="122">
        <v>1630</v>
      </c>
      <c r="Y5" s="123">
        <v>1793</v>
      </c>
      <c r="Z5" s="132">
        <v>13313</v>
      </c>
      <c r="AA5" s="132">
        <v>14644.3</v>
      </c>
      <c r="AB5">
        <f t="shared" si="2"/>
        <v>17349.3</v>
      </c>
    </row>
    <row r="6" spans="1:28">
      <c r="A6" s="89">
        <v>4</v>
      </c>
      <c r="B6" s="89">
        <v>712</v>
      </c>
      <c r="C6" s="89" t="s">
        <v>126</v>
      </c>
      <c r="D6" s="89" t="s">
        <v>92</v>
      </c>
      <c r="E6" s="89" t="s">
        <v>127</v>
      </c>
      <c r="F6" s="122">
        <v>27</v>
      </c>
      <c r="G6" s="122">
        <v>35</v>
      </c>
      <c r="H6" s="122">
        <v>109</v>
      </c>
      <c r="I6" s="127">
        <v>116</v>
      </c>
      <c r="J6" s="127">
        <v>79</v>
      </c>
      <c r="K6" s="127">
        <v>90</v>
      </c>
      <c r="L6" s="127">
        <v>19</v>
      </c>
      <c r="M6" s="127">
        <v>23</v>
      </c>
      <c r="N6" s="127">
        <f t="shared" si="0"/>
        <v>207</v>
      </c>
      <c r="O6" s="127">
        <v>1</v>
      </c>
      <c r="P6" s="127">
        <v>2</v>
      </c>
      <c r="Q6" s="127">
        <v>5</v>
      </c>
      <c r="R6" s="127">
        <v>8</v>
      </c>
      <c r="S6" s="127">
        <f t="shared" si="1"/>
        <v>6</v>
      </c>
      <c r="T6" s="122">
        <v>1386</v>
      </c>
      <c r="U6" s="122">
        <v>1801.8</v>
      </c>
      <c r="V6" s="122">
        <v>1027.5</v>
      </c>
      <c r="W6" s="122">
        <v>1181.6</v>
      </c>
      <c r="X6" s="122">
        <v>656</v>
      </c>
      <c r="Y6" s="123">
        <v>820</v>
      </c>
      <c r="Z6" s="132">
        <v>4302</v>
      </c>
      <c r="AA6" s="132">
        <v>5377.5</v>
      </c>
      <c r="AB6">
        <f t="shared" si="2"/>
        <v>6344</v>
      </c>
    </row>
    <row r="7" spans="1:28">
      <c r="A7" s="89">
        <v>5</v>
      </c>
      <c r="B7" s="89">
        <v>581</v>
      </c>
      <c r="C7" s="89" t="s">
        <v>94</v>
      </c>
      <c r="D7" s="89" t="s">
        <v>95</v>
      </c>
      <c r="E7" s="89" t="s">
        <v>93</v>
      </c>
      <c r="F7" s="122">
        <v>27</v>
      </c>
      <c r="G7" s="122">
        <v>34</v>
      </c>
      <c r="H7" s="122">
        <v>109</v>
      </c>
      <c r="I7" s="127">
        <v>116</v>
      </c>
      <c r="J7" s="127">
        <v>65</v>
      </c>
      <c r="K7" s="127">
        <v>76</v>
      </c>
      <c r="L7" s="127">
        <v>1</v>
      </c>
      <c r="M7" s="127">
        <v>1</v>
      </c>
      <c r="N7" s="127">
        <f t="shared" si="0"/>
        <v>175</v>
      </c>
      <c r="O7" s="127">
        <v>1</v>
      </c>
      <c r="P7" s="127">
        <v>2</v>
      </c>
      <c r="Q7" s="127">
        <v>2</v>
      </c>
      <c r="R7" s="127">
        <v>4</v>
      </c>
      <c r="S7" s="127">
        <f t="shared" si="1"/>
        <v>3</v>
      </c>
      <c r="T7" s="122">
        <v>1634.1</v>
      </c>
      <c r="U7" s="122">
        <v>1960.92</v>
      </c>
      <c r="V7" s="122">
        <v>148.75</v>
      </c>
      <c r="W7" s="122">
        <v>223.1</v>
      </c>
      <c r="X7" s="122">
        <v>709.49</v>
      </c>
      <c r="Y7" s="123">
        <v>887</v>
      </c>
      <c r="Z7" s="132">
        <v>3100</v>
      </c>
      <c r="AA7" s="132">
        <v>3875</v>
      </c>
      <c r="AB7">
        <f t="shared" si="2"/>
        <v>5443.59</v>
      </c>
    </row>
    <row r="8" spans="1:28">
      <c r="A8" s="89">
        <v>6</v>
      </c>
      <c r="B8" s="89">
        <v>571</v>
      </c>
      <c r="C8" s="89" t="s">
        <v>128</v>
      </c>
      <c r="D8" s="89" t="s">
        <v>92</v>
      </c>
      <c r="E8" s="89" t="s">
        <v>127</v>
      </c>
      <c r="F8" s="122">
        <v>27</v>
      </c>
      <c r="G8" s="122">
        <v>35</v>
      </c>
      <c r="H8" s="122">
        <v>109</v>
      </c>
      <c r="I8" s="127">
        <v>116</v>
      </c>
      <c r="J8" s="127">
        <v>181</v>
      </c>
      <c r="K8" s="127">
        <v>198</v>
      </c>
      <c r="L8" s="127">
        <v>15</v>
      </c>
      <c r="M8" s="127">
        <v>19</v>
      </c>
      <c r="N8" s="127">
        <f t="shared" si="0"/>
        <v>305</v>
      </c>
      <c r="O8" s="127">
        <v>2</v>
      </c>
      <c r="P8" s="127">
        <v>3</v>
      </c>
      <c r="Q8" s="127">
        <v>9</v>
      </c>
      <c r="R8" s="127">
        <v>14</v>
      </c>
      <c r="S8" s="127">
        <f t="shared" si="1"/>
        <v>11</v>
      </c>
      <c r="T8" s="122">
        <v>982</v>
      </c>
      <c r="U8" s="122">
        <v>1374.8</v>
      </c>
      <c r="V8" s="122">
        <v>258.01</v>
      </c>
      <c r="W8" s="122">
        <v>387</v>
      </c>
      <c r="X8" s="122">
        <v>1630</v>
      </c>
      <c r="Y8" s="122">
        <v>1793</v>
      </c>
      <c r="Z8" s="132">
        <v>3569</v>
      </c>
      <c r="AA8" s="132">
        <v>4461.25</v>
      </c>
      <c r="AB8">
        <f t="shared" si="2"/>
        <v>6181</v>
      </c>
    </row>
    <row r="9" spans="1:28">
      <c r="A9" s="89">
        <v>7</v>
      </c>
      <c r="B9" s="89">
        <v>750</v>
      </c>
      <c r="C9" s="89" t="s">
        <v>129</v>
      </c>
      <c r="D9" s="89" t="s">
        <v>92</v>
      </c>
      <c r="E9" s="89" t="s">
        <v>127</v>
      </c>
      <c r="F9" s="122">
        <v>27</v>
      </c>
      <c r="G9" s="122">
        <v>35</v>
      </c>
      <c r="H9" s="122">
        <v>78</v>
      </c>
      <c r="I9" s="127">
        <v>85</v>
      </c>
      <c r="J9" s="127">
        <v>84</v>
      </c>
      <c r="K9" s="127">
        <v>96</v>
      </c>
      <c r="L9" s="127">
        <v>16</v>
      </c>
      <c r="M9" s="127">
        <v>20</v>
      </c>
      <c r="N9" s="127">
        <f t="shared" si="0"/>
        <v>178</v>
      </c>
      <c r="O9" s="127">
        <v>5</v>
      </c>
      <c r="P9" s="127">
        <v>7</v>
      </c>
      <c r="Q9" s="127">
        <v>24</v>
      </c>
      <c r="R9" s="127">
        <v>31</v>
      </c>
      <c r="S9" s="127">
        <f t="shared" si="1"/>
        <v>29</v>
      </c>
      <c r="T9" s="122">
        <v>630.3</v>
      </c>
      <c r="U9" s="122">
        <v>882.42</v>
      </c>
      <c r="V9" s="122">
        <v>709.01</v>
      </c>
      <c r="W9" s="122">
        <v>850.8</v>
      </c>
      <c r="X9" s="122">
        <v>549.5</v>
      </c>
      <c r="Y9" s="123">
        <v>687</v>
      </c>
      <c r="Z9" s="132">
        <v>2497</v>
      </c>
      <c r="AA9" s="132">
        <v>3121.25</v>
      </c>
      <c r="AB9">
        <f t="shared" si="2"/>
        <v>3676.8</v>
      </c>
    </row>
    <row r="10" spans="1:28">
      <c r="A10" s="89">
        <v>8</v>
      </c>
      <c r="B10" s="89">
        <v>707</v>
      </c>
      <c r="C10" s="89" t="s">
        <v>130</v>
      </c>
      <c r="D10" s="89" t="s">
        <v>95</v>
      </c>
      <c r="E10" s="89" t="s">
        <v>127</v>
      </c>
      <c r="F10" s="122">
        <v>27</v>
      </c>
      <c r="G10" s="122">
        <v>34</v>
      </c>
      <c r="H10" s="122">
        <v>55</v>
      </c>
      <c r="I10" s="127">
        <v>63</v>
      </c>
      <c r="J10" s="127">
        <v>90</v>
      </c>
      <c r="K10" s="127">
        <v>103</v>
      </c>
      <c r="L10" s="127">
        <v>4</v>
      </c>
      <c r="M10" s="127">
        <v>5</v>
      </c>
      <c r="N10" s="127">
        <f t="shared" si="0"/>
        <v>149</v>
      </c>
      <c r="O10" s="127">
        <v>1</v>
      </c>
      <c r="P10" s="127">
        <v>2</v>
      </c>
      <c r="Q10" s="127">
        <v>8</v>
      </c>
      <c r="R10" s="127">
        <v>12</v>
      </c>
      <c r="S10" s="127">
        <f t="shared" si="1"/>
        <v>9</v>
      </c>
      <c r="T10" s="122">
        <v>168.3</v>
      </c>
      <c r="U10" s="122">
        <v>252.45</v>
      </c>
      <c r="V10" s="122">
        <v>84.5</v>
      </c>
      <c r="W10" s="122">
        <v>169</v>
      </c>
      <c r="X10" s="122">
        <v>791.1</v>
      </c>
      <c r="Y10" s="123">
        <v>989</v>
      </c>
      <c r="Z10" s="132">
        <v>2096</v>
      </c>
      <c r="AA10" s="132">
        <v>2620</v>
      </c>
      <c r="AB10">
        <f t="shared" si="2"/>
        <v>3055.4</v>
      </c>
    </row>
    <row r="11" spans="1:28">
      <c r="A11" s="89">
        <v>9</v>
      </c>
      <c r="B11" s="89">
        <v>387</v>
      </c>
      <c r="C11" s="89" t="s">
        <v>131</v>
      </c>
      <c r="D11" s="89" t="s">
        <v>92</v>
      </c>
      <c r="E11" s="89" t="s">
        <v>127</v>
      </c>
      <c r="F11" s="122">
        <v>27</v>
      </c>
      <c r="G11" s="122">
        <v>35</v>
      </c>
      <c r="H11" s="122">
        <v>77</v>
      </c>
      <c r="I11" s="127">
        <v>84</v>
      </c>
      <c r="J11" s="127">
        <v>95</v>
      </c>
      <c r="K11" s="127">
        <v>109</v>
      </c>
      <c r="L11" s="127">
        <v>8</v>
      </c>
      <c r="M11" s="127">
        <v>10</v>
      </c>
      <c r="N11" s="127">
        <f t="shared" si="0"/>
        <v>180</v>
      </c>
      <c r="O11" s="127">
        <v>2</v>
      </c>
      <c r="P11" s="127">
        <v>3</v>
      </c>
      <c r="Q11" s="127">
        <v>7</v>
      </c>
      <c r="R11" s="127">
        <v>11</v>
      </c>
      <c r="S11" s="127">
        <f t="shared" si="1"/>
        <v>9</v>
      </c>
      <c r="T11" s="122">
        <v>1299.2</v>
      </c>
      <c r="U11" s="122">
        <v>1688.96</v>
      </c>
      <c r="V11" s="122">
        <v>2500.36</v>
      </c>
      <c r="W11" s="122">
        <v>2625.4</v>
      </c>
      <c r="X11" s="122">
        <v>475.89</v>
      </c>
      <c r="Y11" s="122">
        <v>666</v>
      </c>
      <c r="Z11" s="132">
        <v>2377.01</v>
      </c>
      <c r="AA11" s="132">
        <v>2971.26</v>
      </c>
      <c r="AB11">
        <f t="shared" si="2"/>
        <v>4152.1</v>
      </c>
    </row>
    <row r="12" spans="1:28">
      <c r="A12" s="89">
        <v>10</v>
      </c>
      <c r="B12" s="89">
        <v>582</v>
      </c>
      <c r="C12" s="89" t="s">
        <v>96</v>
      </c>
      <c r="D12" s="89" t="s">
        <v>92</v>
      </c>
      <c r="E12" s="89" t="s">
        <v>93</v>
      </c>
      <c r="F12" s="122">
        <v>27</v>
      </c>
      <c r="G12" s="122">
        <v>35</v>
      </c>
      <c r="H12" s="122">
        <v>27</v>
      </c>
      <c r="I12" s="127">
        <v>32</v>
      </c>
      <c r="J12" s="127">
        <v>41</v>
      </c>
      <c r="K12" s="127">
        <v>47</v>
      </c>
      <c r="L12" s="127">
        <v>15</v>
      </c>
      <c r="M12" s="127">
        <v>19</v>
      </c>
      <c r="N12" s="127">
        <f t="shared" si="0"/>
        <v>83</v>
      </c>
      <c r="O12" s="127">
        <v>1</v>
      </c>
      <c r="P12" s="127">
        <v>2</v>
      </c>
      <c r="Q12" s="127">
        <v>20</v>
      </c>
      <c r="R12" s="127">
        <v>26</v>
      </c>
      <c r="S12" s="127">
        <f t="shared" si="1"/>
        <v>21</v>
      </c>
      <c r="T12" s="122">
        <v>532</v>
      </c>
      <c r="U12" s="122">
        <v>744.8</v>
      </c>
      <c r="V12" s="122">
        <v>892.02</v>
      </c>
      <c r="W12" s="122">
        <v>1070.4</v>
      </c>
      <c r="X12" s="122">
        <v>1110.45</v>
      </c>
      <c r="Y12" s="122">
        <v>1221</v>
      </c>
      <c r="Z12" s="132">
        <v>1850</v>
      </c>
      <c r="AA12" s="132">
        <v>2312.5</v>
      </c>
      <c r="AB12">
        <f t="shared" si="2"/>
        <v>3492.45</v>
      </c>
    </row>
    <row r="13" spans="1:28">
      <c r="A13" s="89">
        <v>11</v>
      </c>
      <c r="B13" s="89">
        <v>514</v>
      </c>
      <c r="C13" s="89" t="s">
        <v>170</v>
      </c>
      <c r="D13" s="89" t="s">
        <v>95</v>
      </c>
      <c r="E13" s="89" t="s">
        <v>169</v>
      </c>
      <c r="F13" s="122">
        <v>27</v>
      </c>
      <c r="G13" s="122">
        <v>34</v>
      </c>
      <c r="H13" s="122">
        <v>59</v>
      </c>
      <c r="I13" s="127">
        <v>67</v>
      </c>
      <c r="J13" s="127">
        <v>132</v>
      </c>
      <c r="K13" s="127">
        <v>136</v>
      </c>
      <c r="L13" s="127">
        <v>1</v>
      </c>
      <c r="M13" s="127">
        <v>1</v>
      </c>
      <c r="N13" s="127">
        <f t="shared" si="0"/>
        <v>192</v>
      </c>
      <c r="O13" s="127">
        <v>1</v>
      </c>
      <c r="P13" s="127">
        <v>2</v>
      </c>
      <c r="Q13" s="127">
        <v>7</v>
      </c>
      <c r="R13" s="127">
        <v>11</v>
      </c>
      <c r="S13" s="127">
        <f t="shared" si="1"/>
        <v>8</v>
      </c>
      <c r="T13" s="123">
        <v>300</v>
      </c>
      <c r="U13" s="122">
        <v>450</v>
      </c>
      <c r="V13" s="122">
        <v>259.5</v>
      </c>
      <c r="W13" s="122">
        <v>389.3</v>
      </c>
      <c r="X13" s="122">
        <v>804.84</v>
      </c>
      <c r="Y13" s="123">
        <v>1006</v>
      </c>
      <c r="Z13" s="132">
        <v>5959</v>
      </c>
      <c r="AA13" s="132">
        <v>6256.95</v>
      </c>
      <c r="AB13">
        <f t="shared" si="2"/>
        <v>7063.84</v>
      </c>
    </row>
    <row r="14" spans="1:28">
      <c r="A14" s="89">
        <v>12</v>
      </c>
      <c r="B14" s="89">
        <v>359</v>
      </c>
      <c r="C14" s="89" t="s">
        <v>97</v>
      </c>
      <c r="D14" s="89" t="s">
        <v>95</v>
      </c>
      <c r="E14" s="89" t="s">
        <v>93</v>
      </c>
      <c r="F14" s="122">
        <v>20</v>
      </c>
      <c r="G14" s="122">
        <v>27</v>
      </c>
      <c r="H14" s="122">
        <v>40</v>
      </c>
      <c r="I14" s="127">
        <v>46</v>
      </c>
      <c r="J14" s="127">
        <v>44</v>
      </c>
      <c r="K14" s="127">
        <v>50</v>
      </c>
      <c r="L14" s="127">
        <v>2</v>
      </c>
      <c r="M14" s="127">
        <v>3</v>
      </c>
      <c r="N14" s="127">
        <f t="shared" si="0"/>
        <v>86</v>
      </c>
      <c r="O14" s="127">
        <v>4</v>
      </c>
      <c r="P14" s="127">
        <v>6</v>
      </c>
      <c r="Q14" s="127">
        <v>7</v>
      </c>
      <c r="R14" s="127">
        <v>11</v>
      </c>
      <c r="S14" s="127">
        <f t="shared" si="1"/>
        <v>11</v>
      </c>
      <c r="T14" s="123">
        <v>300</v>
      </c>
      <c r="U14" s="122">
        <v>450</v>
      </c>
      <c r="V14" s="122">
        <v>315.04</v>
      </c>
      <c r="W14" s="122">
        <v>472.6</v>
      </c>
      <c r="X14" s="122">
        <v>1287.5</v>
      </c>
      <c r="Y14" s="122">
        <v>1416</v>
      </c>
      <c r="Z14" s="132">
        <v>683</v>
      </c>
      <c r="AA14" s="132">
        <v>956.2</v>
      </c>
      <c r="AB14">
        <f t="shared" si="2"/>
        <v>2270.5</v>
      </c>
    </row>
    <row r="15" spans="1:28">
      <c r="A15" s="89">
        <v>13</v>
      </c>
      <c r="B15" s="89">
        <v>726</v>
      </c>
      <c r="C15" s="89" t="s">
        <v>98</v>
      </c>
      <c r="D15" s="89" t="s">
        <v>95</v>
      </c>
      <c r="E15" s="89" t="s">
        <v>93</v>
      </c>
      <c r="F15" s="122">
        <v>27</v>
      </c>
      <c r="G15" s="122">
        <v>34</v>
      </c>
      <c r="H15" s="122">
        <v>42</v>
      </c>
      <c r="I15" s="127">
        <v>49</v>
      </c>
      <c r="J15" s="127">
        <v>95</v>
      </c>
      <c r="K15" s="127">
        <v>109</v>
      </c>
      <c r="L15" s="127">
        <v>1</v>
      </c>
      <c r="M15" s="127">
        <v>1</v>
      </c>
      <c r="N15" s="127">
        <f t="shared" si="0"/>
        <v>138</v>
      </c>
      <c r="O15" s="127">
        <v>1</v>
      </c>
      <c r="P15" s="127">
        <v>2</v>
      </c>
      <c r="Q15" s="127">
        <v>7</v>
      </c>
      <c r="R15" s="127">
        <v>11</v>
      </c>
      <c r="S15" s="127">
        <f t="shared" si="1"/>
        <v>8</v>
      </c>
      <c r="T15" s="122">
        <v>588</v>
      </c>
      <c r="U15" s="122">
        <v>823.2</v>
      </c>
      <c r="V15" s="122">
        <v>597.6</v>
      </c>
      <c r="W15" s="122">
        <v>717.1</v>
      </c>
      <c r="X15" s="122">
        <v>1737.5</v>
      </c>
      <c r="Y15" s="122">
        <v>1911</v>
      </c>
      <c r="Z15" s="132">
        <v>3105.71</v>
      </c>
      <c r="AA15" s="132">
        <v>3882.14</v>
      </c>
      <c r="AB15">
        <f t="shared" si="2"/>
        <v>5431.21</v>
      </c>
    </row>
    <row r="16" spans="1:28">
      <c r="A16" s="89">
        <v>14</v>
      </c>
      <c r="B16" s="89">
        <v>578</v>
      </c>
      <c r="C16" s="89" t="s">
        <v>148</v>
      </c>
      <c r="D16" s="89" t="s">
        <v>95</v>
      </c>
      <c r="E16" s="89" t="s">
        <v>149</v>
      </c>
      <c r="F16" s="122">
        <v>17</v>
      </c>
      <c r="G16" s="122">
        <v>24</v>
      </c>
      <c r="H16" s="122">
        <v>48</v>
      </c>
      <c r="I16" s="127">
        <v>56</v>
      </c>
      <c r="J16" s="127">
        <v>69</v>
      </c>
      <c r="K16" s="127">
        <v>81</v>
      </c>
      <c r="L16" s="127">
        <v>8</v>
      </c>
      <c r="M16" s="127">
        <v>10</v>
      </c>
      <c r="N16" s="127">
        <f t="shared" si="0"/>
        <v>125</v>
      </c>
      <c r="O16" s="127">
        <v>1</v>
      </c>
      <c r="P16" s="127">
        <v>2</v>
      </c>
      <c r="Q16" s="127">
        <v>5</v>
      </c>
      <c r="R16" s="127">
        <v>8</v>
      </c>
      <c r="S16" s="127">
        <f t="shared" si="1"/>
        <v>6</v>
      </c>
      <c r="T16" s="122">
        <v>462</v>
      </c>
      <c r="U16" s="122">
        <v>693</v>
      </c>
      <c r="V16" s="122">
        <v>168</v>
      </c>
      <c r="W16" s="122">
        <v>252</v>
      </c>
      <c r="X16" s="122">
        <v>380.5</v>
      </c>
      <c r="Y16" s="122">
        <v>533</v>
      </c>
      <c r="Z16" s="132">
        <v>1431</v>
      </c>
      <c r="AA16" s="132">
        <v>1788.75</v>
      </c>
      <c r="AB16">
        <f t="shared" si="2"/>
        <v>2273.5</v>
      </c>
    </row>
    <row r="17" spans="1:28">
      <c r="A17" s="89">
        <v>15</v>
      </c>
      <c r="B17" s="89">
        <v>365</v>
      </c>
      <c r="C17" s="89" t="s">
        <v>99</v>
      </c>
      <c r="D17" s="89" t="s">
        <v>95</v>
      </c>
      <c r="E17" s="89" t="s">
        <v>93</v>
      </c>
      <c r="F17" s="122">
        <v>27</v>
      </c>
      <c r="G17" s="122">
        <v>34</v>
      </c>
      <c r="H17" s="122">
        <v>48</v>
      </c>
      <c r="I17" s="127">
        <v>56</v>
      </c>
      <c r="J17" s="127">
        <v>65</v>
      </c>
      <c r="K17" s="127">
        <v>76</v>
      </c>
      <c r="L17" s="127">
        <v>21</v>
      </c>
      <c r="M17" s="127">
        <v>30</v>
      </c>
      <c r="N17" s="127">
        <f t="shared" si="0"/>
        <v>134</v>
      </c>
      <c r="O17" s="127">
        <v>2</v>
      </c>
      <c r="P17" s="127">
        <v>3</v>
      </c>
      <c r="Q17" s="127">
        <v>21</v>
      </c>
      <c r="R17" s="127">
        <v>27</v>
      </c>
      <c r="S17" s="127">
        <f t="shared" si="1"/>
        <v>23</v>
      </c>
      <c r="T17" s="122">
        <v>662</v>
      </c>
      <c r="U17" s="122">
        <v>926.8</v>
      </c>
      <c r="V17" s="122">
        <v>890.52</v>
      </c>
      <c r="W17" s="122">
        <v>1068.6</v>
      </c>
      <c r="X17" s="122">
        <v>922.02</v>
      </c>
      <c r="Y17" s="123">
        <v>1153</v>
      </c>
      <c r="Z17" s="132">
        <v>1787.3</v>
      </c>
      <c r="AA17" s="132">
        <v>2234.13</v>
      </c>
      <c r="AB17">
        <f t="shared" si="2"/>
        <v>3371.32</v>
      </c>
    </row>
    <row r="18" spans="1:28">
      <c r="A18" s="89">
        <v>16</v>
      </c>
      <c r="B18" s="89">
        <v>373</v>
      </c>
      <c r="C18" s="89" t="s">
        <v>150</v>
      </c>
      <c r="D18" s="89" t="s">
        <v>104</v>
      </c>
      <c r="E18" s="89" t="s">
        <v>149</v>
      </c>
      <c r="F18" s="122">
        <v>17</v>
      </c>
      <c r="G18" s="122">
        <v>23</v>
      </c>
      <c r="H18" s="122">
        <v>42</v>
      </c>
      <c r="I18" s="127">
        <v>49</v>
      </c>
      <c r="J18" s="127">
        <v>40</v>
      </c>
      <c r="K18" s="127">
        <v>46</v>
      </c>
      <c r="L18" s="127">
        <v>8</v>
      </c>
      <c r="M18" s="127">
        <v>10</v>
      </c>
      <c r="N18" s="127">
        <f t="shared" si="0"/>
        <v>90</v>
      </c>
      <c r="O18" s="127">
        <v>1</v>
      </c>
      <c r="P18" s="127">
        <v>2</v>
      </c>
      <c r="Q18" s="127">
        <v>13</v>
      </c>
      <c r="R18" s="127">
        <v>20</v>
      </c>
      <c r="S18" s="127">
        <f t="shared" si="1"/>
        <v>14</v>
      </c>
      <c r="T18" s="122">
        <v>178.2</v>
      </c>
      <c r="U18" s="122">
        <v>267.3</v>
      </c>
      <c r="V18" s="122">
        <v>702.5</v>
      </c>
      <c r="W18" s="122">
        <v>843</v>
      </c>
      <c r="X18" s="122">
        <v>794.5</v>
      </c>
      <c r="Y18" s="123">
        <v>993</v>
      </c>
      <c r="Z18" s="132">
        <v>1737</v>
      </c>
      <c r="AA18" s="132">
        <v>2171.25</v>
      </c>
      <c r="AB18">
        <f t="shared" si="2"/>
        <v>2709.7</v>
      </c>
    </row>
    <row r="19" spans="1:28">
      <c r="A19" s="89">
        <v>17</v>
      </c>
      <c r="B19" s="89">
        <v>513</v>
      </c>
      <c r="C19" s="89" t="s">
        <v>100</v>
      </c>
      <c r="D19" s="89" t="s">
        <v>95</v>
      </c>
      <c r="E19" s="89" t="s">
        <v>93</v>
      </c>
      <c r="F19" s="122">
        <v>20</v>
      </c>
      <c r="G19" s="122">
        <v>27</v>
      </c>
      <c r="H19" s="122">
        <v>13</v>
      </c>
      <c r="I19" s="127">
        <v>14</v>
      </c>
      <c r="J19" s="127">
        <v>78</v>
      </c>
      <c r="K19" s="127">
        <v>89</v>
      </c>
      <c r="L19" s="127">
        <v>3</v>
      </c>
      <c r="M19" s="127">
        <v>4</v>
      </c>
      <c r="N19" s="127">
        <f t="shared" si="0"/>
        <v>94</v>
      </c>
      <c r="O19" s="127">
        <v>1</v>
      </c>
      <c r="P19" s="127">
        <v>2</v>
      </c>
      <c r="Q19" s="127">
        <v>1</v>
      </c>
      <c r="R19" s="127">
        <v>3</v>
      </c>
      <c r="S19" s="127">
        <f t="shared" si="1"/>
        <v>2</v>
      </c>
      <c r="T19" s="122">
        <v>198</v>
      </c>
      <c r="U19" s="122">
        <v>297</v>
      </c>
      <c r="V19" s="122">
        <v>168</v>
      </c>
      <c r="W19" s="122">
        <v>252</v>
      </c>
      <c r="X19" s="122">
        <v>762.5</v>
      </c>
      <c r="Y19" s="123">
        <v>953</v>
      </c>
      <c r="Z19" s="132">
        <v>792</v>
      </c>
      <c r="AA19" s="132">
        <v>1108.8</v>
      </c>
      <c r="AB19">
        <f t="shared" si="2"/>
        <v>1752.5</v>
      </c>
    </row>
    <row r="20" spans="1:28">
      <c r="A20" s="89">
        <v>18</v>
      </c>
      <c r="B20" s="89">
        <v>546</v>
      </c>
      <c r="C20" s="89" t="s">
        <v>132</v>
      </c>
      <c r="D20" s="89" t="s">
        <v>95</v>
      </c>
      <c r="E20" s="89" t="s">
        <v>127</v>
      </c>
      <c r="F20" s="122">
        <v>27</v>
      </c>
      <c r="G20" s="122">
        <v>34</v>
      </c>
      <c r="H20" s="122">
        <v>80</v>
      </c>
      <c r="I20" s="127">
        <v>87</v>
      </c>
      <c r="J20" s="127">
        <v>144</v>
      </c>
      <c r="K20" s="127">
        <v>148</v>
      </c>
      <c r="L20" s="127">
        <v>2</v>
      </c>
      <c r="M20" s="127">
        <v>3</v>
      </c>
      <c r="N20" s="127">
        <f t="shared" si="0"/>
        <v>226</v>
      </c>
      <c r="O20" s="127">
        <v>3</v>
      </c>
      <c r="P20" s="127">
        <v>4</v>
      </c>
      <c r="Q20" s="127">
        <v>8</v>
      </c>
      <c r="R20" s="127">
        <v>12</v>
      </c>
      <c r="S20" s="127">
        <f t="shared" si="1"/>
        <v>11</v>
      </c>
      <c r="T20" s="122">
        <v>1188</v>
      </c>
      <c r="U20" s="122">
        <v>1544.4</v>
      </c>
      <c r="V20" s="122">
        <v>168</v>
      </c>
      <c r="W20" s="122">
        <v>252</v>
      </c>
      <c r="X20" s="122">
        <v>1760.04</v>
      </c>
      <c r="Y20" s="122">
        <v>1936</v>
      </c>
      <c r="Z20" s="132">
        <v>2108</v>
      </c>
      <c r="AA20" s="132">
        <v>2635</v>
      </c>
      <c r="AB20">
        <f t="shared" si="2"/>
        <v>5056.04</v>
      </c>
    </row>
    <row r="21" spans="1:28">
      <c r="A21" s="89">
        <v>19</v>
      </c>
      <c r="B21" s="89">
        <v>746</v>
      </c>
      <c r="C21" s="89" t="s">
        <v>171</v>
      </c>
      <c r="D21" s="89" t="s">
        <v>109</v>
      </c>
      <c r="E21" s="89" t="s">
        <v>169</v>
      </c>
      <c r="F21" s="122">
        <v>17</v>
      </c>
      <c r="G21" s="122">
        <v>22</v>
      </c>
      <c r="H21" s="122">
        <v>15</v>
      </c>
      <c r="I21" s="127">
        <v>17</v>
      </c>
      <c r="J21" s="127">
        <v>47</v>
      </c>
      <c r="K21" s="127">
        <v>53</v>
      </c>
      <c r="L21" s="127">
        <v>2</v>
      </c>
      <c r="M21" s="127">
        <v>3</v>
      </c>
      <c r="N21" s="127">
        <f t="shared" si="0"/>
        <v>64</v>
      </c>
      <c r="O21" s="127">
        <v>1</v>
      </c>
      <c r="P21" s="127">
        <v>2</v>
      </c>
      <c r="Q21" s="127">
        <v>1</v>
      </c>
      <c r="R21" s="127">
        <v>3</v>
      </c>
      <c r="S21" s="127">
        <f t="shared" si="1"/>
        <v>2</v>
      </c>
      <c r="T21" s="123">
        <v>150</v>
      </c>
      <c r="U21" s="122">
        <v>225</v>
      </c>
      <c r="V21" s="122">
        <v>84.5</v>
      </c>
      <c r="W21" s="122">
        <v>169</v>
      </c>
      <c r="X21" s="122">
        <v>922.12</v>
      </c>
      <c r="Y21" s="123">
        <v>1153</v>
      </c>
      <c r="Z21" s="132">
        <v>1235</v>
      </c>
      <c r="AA21" s="132">
        <v>1543.75</v>
      </c>
      <c r="AB21">
        <f t="shared" si="2"/>
        <v>2307.12</v>
      </c>
    </row>
    <row r="22" spans="1:28">
      <c r="A22" s="89">
        <v>20</v>
      </c>
      <c r="B22" s="89">
        <v>515</v>
      </c>
      <c r="C22" s="89" t="s">
        <v>151</v>
      </c>
      <c r="D22" s="89" t="s">
        <v>104</v>
      </c>
      <c r="E22" s="89" t="s">
        <v>149</v>
      </c>
      <c r="F22" s="122">
        <v>17</v>
      </c>
      <c r="G22" s="122">
        <v>23</v>
      </c>
      <c r="H22" s="122">
        <v>75</v>
      </c>
      <c r="I22" s="127">
        <v>82</v>
      </c>
      <c r="J22" s="127">
        <v>63</v>
      </c>
      <c r="K22" s="127">
        <v>73</v>
      </c>
      <c r="L22" s="127">
        <v>2</v>
      </c>
      <c r="M22" s="127">
        <v>3</v>
      </c>
      <c r="N22" s="127">
        <f t="shared" si="0"/>
        <v>140</v>
      </c>
      <c r="O22" s="127">
        <v>1</v>
      </c>
      <c r="P22" s="127">
        <v>2</v>
      </c>
      <c r="Q22" s="127">
        <v>5</v>
      </c>
      <c r="R22" s="127">
        <v>8</v>
      </c>
      <c r="S22" s="127">
        <f t="shared" si="1"/>
        <v>6</v>
      </c>
      <c r="T22" s="122">
        <v>734</v>
      </c>
      <c r="U22" s="122">
        <v>1027.6</v>
      </c>
      <c r="V22" s="122">
        <v>84.5</v>
      </c>
      <c r="W22" s="122">
        <v>169</v>
      </c>
      <c r="X22" s="122">
        <v>411</v>
      </c>
      <c r="Y22" s="122">
        <v>575</v>
      </c>
      <c r="Z22" s="132">
        <v>2730</v>
      </c>
      <c r="AA22" s="132">
        <v>3412.5</v>
      </c>
      <c r="AB22">
        <f t="shared" si="2"/>
        <v>3875</v>
      </c>
    </row>
    <row r="23" spans="1:28">
      <c r="A23" s="89">
        <v>21</v>
      </c>
      <c r="B23" s="89">
        <v>730</v>
      </c>
      <c r="C23" s="89" t="s">
        <v>101</v>
      </c>
      <c r="D23" s="89" t="s">
        <v>95</v>
      </c>
      <c r="E23" s="89" t="s">
        <v>93</v>
      </c>
      <c r="F23" s="122">
        <v>27</v>
      </c>
      <c r="G23" s="122">
        <v>34</v>
      </c>
      <c r="H23" s="122">
        <v>28</v>
      </c>
      <c r="I23" s="127">
        <v>33</v>
      </c>
      <c r="J23" s="127">
        <v>43</v>
      </c>
      <c r="K23" s="127">
        <v>50</v>
      </c>
      <c r="L23" s="127">
        <v>1</v>
      </c>
      <c r="M23" s="127">
        <v>1</v>
      </c>
      <c r="N23" s="127">
        <f t="shared" si="0"/>
        <v>72</v>
      </c>
      <c r="O23" s="127">
        <v>2</v>
      </c>
      <c r="P23" s="127">
        <v>3</v>
      </c>
      <c r="Q23" s="127">
        <v>3</v>
      </c>
      <c r="R23" s="127">
        <v>5</v>
      </c>
      <c r="S23" s="127">
        <f t="shared" si="1"/>
        <v>5</v>
      </c>
      <c r="T23" s="123">
        <v>300</v>
      </c>
      <c r="U23" s="122">
        <v>450</v>
      </c>
      <c r="V23" s="122">
        <v>444.51</v>
      </c>
      <c r="W23" s="122">
        <v>666.8</v>
      </c>
      <c r="X23" s="122">
        <v>657.5</v>
      </c>
      <c r="Y23" s="123">
        <v>822</v>
      </c>
      <c r="Z23" s="132">
        <v>3800</v>
      </c>
      <c r="AA23" s="132">
        <v>4750</v>
      </c>
      <c r="AB23">
        <f t="shared" si="2"/>
        <v>4757.5</v>
      </c>
    </row>
    <row r="24" spans="1:28">
      <c r="A24" s="89">
        <v>22</v>
      </c>
      <c r="B24" s="89">
        <v>308</v>
      </c>
      <c r="C24" s="89" t="s">
        <v>152</v>
      </c>
      <c r="D24" s="89" t="s">
        <v>95</v>
      </c>
      <c r="E24" s="89" t="s">
        <v>149</v>
      </c>
      <c r="F24" s="122">
        <v>27</v>
      </c>
      <c r="G24" s="122">
        <v>34</v>
      </c>
      <c r="H24" s="122">
        <v>28</v>
      </c>
      <c r="I24" s="127">
        <v>33</v>
      </c>
      <c r="J24" s="127">
        <v>31</v>
      </c>
      <c r="K24" s="127">
        <v>35</v>
      </c>
      <c r="L24" s="127">
        <v>1</v>
      </c>
      <c r="M24" s="127">
        <v>1</v>
      </c>
      <c r="N24" s="127">
        <f t="shared" si="0"/>
        <v>60</v>
      </c>
      <c r="O24" s="127">
        <v>1</v>
      </c>
      <c r="P24" s="127">
        <v>2</v>
      </c>
      <c r="Q24" s="127">
        <v>6</v>
      </c>
      <c r="R24" s="127">
        <v>9</v>
      </c>
      <c r="S24" s="127">
        <f t="shared" si="1"/>
        <v>7</v>
      </c>
      <c r="T24" s="122">
        <v>408</v>
      </c>
      <c r="U24" s="122">
        <v>612</v>
      </c>
      <c r="V24" s="122">
        <v>168</v>
      </c>
      <c r="W24" s="122">
        <v>252</v>
      </c>
      <c r="X24" s="122">
        <v>624</v>
      </c>
      <c r="Y24" s="123">
        <v>780</v>
      </c>
      <c r="Z24" s="132">
        <v>4408</v>
      </c>
      <c r="AA24" s="132">
        <v>5510</v>
      </c>
      <c r="AB24">
        <f t="shared" si="2"/>
        <v>5440</v>
      </c>
    </row>
    <row r="25" spans="1:28">
      <c r="A25" s="89">
        <v>23</v>
      </c>
      <c r="B25" s="89">
        <v>517</v>
      </c>
      <c r="C25" s="89" t="s">
        <v>153</v>
      </c>
      <c r="D25" s="89" t="s">
        <v>92</v>
      </c>
      <c r="E25" s="89" t="s">
        <v>149</v>
      </c>
      <c r="F25" s="122">
        <v>27</v>
      </c>
      <c r="G25" s="122">
        <v>35</v>
      </c>
      <c r="H25" s="122">
        <v>53</v>
      </c>
      <c r="I25" s="127">
        <v>60</v>
      </c>
      <c r="J25" s="127">
        <v>41</v>
      </c>
      <c r="K25" s="127">
        <v>47</v>
      </c>
      <c r="L25" s="127">
        <v>1</v>
      </c>
      <c r="M25" s="127">
        <v>1</v>
      </c>
      <c r="N25" s="127">
        <f t="shared" si="0"/>
        <v>95</v>
      </c>
      <c r="O25" s="127">
        <v>1</v>
      </c>
      <c r="P25" s="127">
        <v>2</v>
      </c>
      <c r="Q25" s="127">
        <v>1</v>
      </c>
      <c r="R25" s="127">
        <v>3</v>
      </c>
      <c r="S25" s="127">
        <f t="shared" si="1"/>
        <v>2</v>
      </c>
      <c r="T25" s="122">
        <v>380.1</v>
      </c>
      <c r="U25" s="122">
        <v>570.15</v>
      </c>
      <c r="V25" s="122">
        <v>86</v>
      </c>
      <c r="W25" s="122">
        <v>172</v>
      </c>
      <c r="X25" s="122">
        <v>848.65</v>
      </c>
      <c r="Y25" s="123">
        <v>1061</v>
      </c>
      <c r="Z25" s="132">
        <v>2230</v>
      </c>
      <c r="AA25" s="132">
        <v>2787.5</v>
      </c>
      <c r="AB25">
        <f t="shared" si="2"/>
        <v>3458.75</v>
      </c>
    </row>
    <row r="26" spans="1:28">
      <c r="A26" s="89">
        <v>24</v>
      </c>
      <c r="B26" s="89">
        <v>585</v>
      </c>
      <c r="C26" s="89" t="s">
        <v>102</v>
      </c>
      <c r="D26" s="89" t="s">
        <v>95</v>
      </c>
      <c r="E26" s="89" t="s">
        <v>93</v>
      </c>
      <c r="F26" s="122">
        <v>27</v>
      </c>
      <c r="G26" s="122">
        <v>34</v>
      </c>
      <c r="H26" s="122">
        <v>55</v>
      </c>
      <c r="I26" s="127">
        <v>63</v>
      </c>
      <c r="J26" s="127">
        <v>55</v>
      </c>
      <c r="K26" s="127">
        <v>63</v>
      </c>
      <c r="L26" s="127">
        <v>2</v>
      </c>
      <c r="M26" s="127">
        <v>3</v>
      </c>
      <c r="N26" s="127">
        <f t="shared" si="0"/>
        <v>112</v>
      </c>
      <c r="O26" s="127">
        <v>1</v>
      </c>
      <c r="P26" s="127">
        <v>2</v>
      </c>
      <c r="Q26" s="127">
        <v>11</v>
      </c>
      <c r="R26" s="127">
        <v>17</v>
      </c>
      <c r="S26" s="127">
        <f t="shared" si="1"/>
        <v>12</v>
      </c>
      <c r="T26" s="122">
        <v>1222.9</v>
      </c>
      <c r="U26" s="122">
        <v>1589.77</v>
      </c>
      <c r="V26" s="122">
        <v>168</v>
      </c>
      <c r="W26" s="122">
        <v>252</v>
      </c>
      <c r="X26" s="122">
        <v>682</v>
      </c>
      <c r="Y26" s="123">
        <v>853</v>
      </c>
      <c r="Z26" s="132">
        <v>1823.01</v>
      </c>
      <c r="AA26" s="132">
        <v>2278.76</v>
      </c>
      <c r="AB26">
        <f t="shared" si="2"/>
        <v>3727.91</v>
      </c>
    </row>
    <row r="27" spans="1:28">
      <c r="A27" s="89">
        <v>25</v>
      </c>
      <c r="B27" s="89">
        <v>385</v>
      </c>
      <c r="C27" s="89" t="s">
        <v>172</v>
      </c>
      <c r="D27" s="89" t="s">
        <v>92</v>
      </c>
      <c r="E27" s="89" t="s">
        <v>169</v>
      </c>
      <c r="F27" s="122">
        <v>27</v>
      </c>
      <c r="G27" s="122">
        <v>35</v>
      </c>
      <c r="H27" s="122">
        <v>14</v>
      </c>
      <c r="I27" s="127">
        <v>15</v>
      </c>
      <c r="J27" s="127">
        <v>36</v>
      </c>
      <c r="K27" s="127">
        <v>41</v>
      </c>
      <c r="L27" s="127">
        <v>1</v>
      </c>
      <c r="M27" s="127">
        <v>1</v>
      </c>
      <c r="N27" s="127">
        <f t="shared" si="0"/>
        <v>51</v>
      </c>
      <c r="O27" s="127">
        <v>1</v>
      </c>
      <c r="P27" s="127">
        <v>2</v>
      </c>
      <c r="Q27" s="127">
        <v>11</v>
      </c>
      <c r="R27" s="127">
        <v>17</v>
      </c>
      <c r="S27" s="127">
        <f t="shared" si="1"/>
        <v>12</v>
      </c>
      <c r="T27" s="122">
        <v>168.3</v>
      </c>
      <c r="U27" s="122">
        <v>252.45</v>
      </c>
      <c r="V27" s="122">
        <v>84.5</v>
      </c>
      <c r="W27" s="122">
        <v>169</v>
      </c>
      <c r="X27" s="122">
        <v>446</v>
      </c>
      <c r="Y27" s="122">
        <v>624</v>
      </c>
      <c r="Z27" s="132">
        <v>665</v>
      </c>
      <c r="AA27" s="132">
        <v>931</v>
      </c>
      <c r="AB27">
        <f t="shared" si="2"/>
        <v>1279.3</v>
      </c>
    </row>
    <row r="28" spans="1:28">
      <c r="A28" s="89">
        <v>26</v>
      </c>
      <c r="B28" s="89">
        <v>744</v>
      </c>
      <c r="C28" s="89" t="s">
        <v>154</v>
      </c>
      <c r="D28" s="89" t="s">
        <v>95</v>
      </c>
      <c r="E28" s="89" t="s">
        <v>149</v>
      </c>
      <c r="F28" s="122">
        <v>20</v>
      </c>
      <c r="G28" s="122">
        <v>27</v>
      </c>
      <c r="H28" s="122">
        <v>31</v>
      </c>
      <c r="I28" s="127">
        <v>35</v>
      </c>
      <c r="J28" s="127">
        <v>50</v>
      </c>
      <c r="K28" s="127">
        <v>57</v>
      </c>
      <c r="L28" s="127">
        <v>4</v>
      </c>
      <c r="M28" s="127">
        <v>5</v>
      </c>
      <c r="N28" s="127">
        <f t="shared" si="0"/>
        <v>85</v>
      </c>
      <c r="O28" s="127">
        <v>1</v>
      </c>
      <c r="P28" s="127">
        <v>2</v>
      </c>
      <c r="Q28" s="127">
        <v>6</v>
      </c>
      <c r="R28" s="127">
        <v>9</v>
      </c>
      <c r="S28" s="127">
        <f t="shared" si="1"/>
        <v>7</v>
      </c>
      <c r="T28" s="123">
        <v>300</v>
      </c>
      <c r="U28" s="122">
        <v>450</v>
      </c>
      <c r="V28" s="122">
        <v>168</v>
      </c>
      <c r="W28" s="122">
        <v>252</v>
      </c>
      <c r="X28" s="122">
        <v>240.5</v>
      </c>
      <c r="Y28" s="122">
        <v>337</v>
      </c>
      <c r="Z28" s="132">
        <v>2336.8</v>
      </c>
      <c r="AA28" s="132">
        <v>2921</v>
      </c>
      <c r="AB28">
        <f t="shared" si="2"/>
        <v>2877.3</v>
      </c>
    </row>
    <row r="29" spans="1:28">
      <c r="A29" s="89">
        <v>27</v>
      </c>
      <c r="B29" s="89">
        <v>724</v>
      </c>
      <c r="C29" s="89" t="s">
        <v>133</v>
      </c>
      <c r="D29" s="89" t="s">
        <v>95</v>
      </c>
      <c r="E29" s="89" t="s">
        <v>127</v>
      </c>
      <c r="F29" s="122">
        <v>20</v>
      </c>
      <c r="G29" s="122">
        <v>27</v>
      </c>
      <c r="H29" s="122">
        <v>78</v>
      </c>
      <c r="I29" s="127">
        <v>85</v>
      </c>
      <c r="J29" s="127">
        <v>50</v>
      </c>
      <c r="K29" s="127">
        <v>57</v>
      </c>
      <c r="L29" s="127">
        <v>2</v>
      </c>
      <c r="M29" s="127">
        <v>3</v>
      </c>
      <c r="N29" s="127">
        <f t="shared" si="0"/>
        <v>130</v>
      </c>
      <c r="O29" s="127">
        <v>1</v>
      </c>
      <c r="P29" s="127">
        <v>2</v>
      </c>
      <c r="Q29" s="127">
        <v>8</v>
      </c>
      <c r="R29" s="127">
        <v>12</v>
      </c>
      <c r="S29" s="127">
        <f t="shared" si="1"/>
        <v>9</v>
      </c>
      <c r="T29" s="122">
        <v>366.3</v>
      </c>
      <c r="U29" s="122">
        <v>549.45</v>
      </c>
      <c r="V29" s="122">
        <v>84.5</v>
      </c>
      <c r="W29" s="122">
        <v>169</v>
      </c>
      <c r="X29" s="122">
        <v>910.58</v>
      </c>
      <c r="Y29" s="123">
        <v>1138</v>
      </c>
      <c r="Z29" s="132">
        <v>1565</v>
      </c>
      <c r="AA29" s="132">
        <v>1956.25</v>
      </c>
      <c r="AB29">
        <f t="shared" si="2"/>
        <v>2841.88</v>
      </c>
    </row>
    <row r="30" spans="1:28">
      <c r="A30" s="89">
        <v>28</v>
      </c>
      <c r="B30" s="89">
        <v>391</v>
      </c>
      <c r="C30" s="89" t="s">
        <v>155</v>
      </c>
      <c r="D30" s="89" t="s">
        <v>104</v>
      </c>
      <c r="E30" s="89" t="s">
        <v>149</v>
      </c>
      <c r="F30" s="122">
        <v>17</v>
      </c>
      <c r="G30" s="122">
        <v>23</v>
      </c>
      <c r="H30" s="122">
        <v>65</v>
      </c>
      <c r="I30" s="127">
        <v>75</v>
      </c>
      <c r="J30" s="127">
        <v>74</v>
      </c>
      <c r="K30" s="127">
        <v>84</v>
      </c>
      <c r="L30" s="127">
        <v>1</v>
      </c>
      <c r="M30" s="127">
        <v>1</v>
      </c>
      <c r="N30" s="127">
        <f t="shared" si="0"/>
        <v>140</v>
      </c>
      <c r="O30" s="127">
        <v>1</v>
      </c>
      <c r="P30" s="127">
        <v>2</v>
      </c>
      <c r="Q30" s="127">
        <v>1</v>
      </c>
      <c r="R30" s="127">
        <v>3</v>
      </c>
      <c r="S30" s="127">
        <f t="shared" si="1"/>
        <v>2</v>
      </c>
      <c r="T30" s="123">
        <v>150</v>
      </c>
      <c r="U30" s="122">
        <v>225</v>
      </c>
      <c r="V30" s="122">
        <v>84.5</v>
      </c>
      <c r="W30" s="122">
        <v>169</v>
      </c>
      <c r="X30" s="122">
        <v>1706.58</v>
      </c>
      <c r="Y30" s="122">
        <v>1877</v>
      </c>
      <c r="Z30" s="132">
        <v>380</v>
      </c>
      <c r="AA30" s="132">
        <v>532</v>
      </c>
      <c r="AB30">
        <f t="shared" si="2"/>
        <v>2236.58</v>
      </c>
    </row>
    <row r="31" spans="1:28">
      <c r="A31" s="89">
        <v>29</v>
      </c>
      <c r="B31" s="89">
        <v>709</v>
      </c>
      <c r="C31" s="89" t="s">
        <v>103</v>
      </c>
      <c r="D31" s="89" t="s">
        <v>104</v>
      </c>
      <c r="E31" s="89" t="s">
        <v>93</v>
      </c>
      <c r="F31" s="122">
        <v>17</v>
      </c>
      <c r="G31" s="122">
        <v>23</v>
      </c>
      <c r="H31" s="122">
        <v>19</v>
      </c>
      <c r="I31" s="127">
        <v>22</v>
      </c>
      <c r="J31" s="127">
        <v>53</v>
      </c>
      <c r="K31" s="127">
        <v>61</v>
      </c>
      <c r="L31" s="127">
        <v>2</v>
      </c>
      <c r="M31" s="127">
        <v>3</v>
      </c>
      <c r="N31" s="127">
        <f t="shared" si="0"/>
        <v>74</v>
      </c>
      <c r="O31" s="127">
        <v>1</v>
      </c>
      <c r="P31" s="127">
        <v>2</v>
      </c>
      <c r="Q31" s="127">
        <v>17</v>
      </c>
      <c r="R31" s="127">
        <v>22</v>
      </c>
      <c r="S31" s="127">
        <f t="shared" si="1"/>
        <v>18</v>
      </c>
      <c r="T31" s="122">
        <v>168.3</v>
      </c>
      <c r="U31" s="122">
        <v>252.45</v>
      </c>
      <c r="V31" s="122">
        <v>84.5</v>
      </c>
      <c r="W31" s="122">
        <v>169</v>
      </c>
      <c r="X31" s="122">
        <v>1164</v>
      </c>
      <c r="Y31" s="122">
        <v>1280</v>
      </c>
      <c r="Z31" s="132">
        <v>1455</v>
      </c>
      <c r="AA31" s="132">
        <v>1818.75</v>
      </c>
      <c r="AB31">
        <f t="shared" si="2"/>
        <v>2787.3</v>
      </c>
    </row>
    <row r="32" spans="1:28">
      <c r="A32" s="89">
        <v>30</v>
      </c>
      <c r="B32" s="89">
        <v>355</v>
      </c>
      <c r="C32" s="89" t="s">
        <v>156</v>
      </c>
      <c r="D32" s="89" t="s">
        <v>95</v>
      </c>
      <c r="E32" s="89" t="s">
        <v>149</v>
      </c>
      <c r="F32" s="122">
        <v>20</v>
      </c>
      <c r="G32" s="122">
        <v>27</v>
      </c>
      <c r="H32" s="122">
        <v>42</v>
      </c>
      <c r="I32" s="127">
        <v>49</v>
      </c>
      <c r="J32" s="127">
        <v>61</v>
      </c>
      <c r="K32" s="127">
        <v>71</v>
      </c>
      <c r="L32" s="127">
        <v>1</v>
      </c>
      <c r="M32" s="127">
        <v>1</v>
      </c>
      <c r="N32" s="127">
        <f t="shared" si="0"/>
        <v>104</v>
      </c>
      <c r="O32" s="127">
        <v>4</v>
      </c>
      <c r="P32" s="127">
        <v>6</v>
      </c>
      <c r="Q32" s="127">
        <v>4</v>
      </c>
      <c r="R32" s="127">
        <v>6</v>
      </c>
      <c r="S32" s="127">
        <f t="shared" si="1"/>
        <v>8</v>
      </c>
      <c r="T32" s="123">
        <v>300</v>
      </c>
      <c r="U32" s="122">
        <v>450</v>
      </c>
      <c r="V32" s="122">
        <v>535.01</v>
      </c>
      <c r="W32" s="122">
        <v>642</v>
      </c>
      <c r="X32" s="122">
        <v>408</v>
      </c>
      <c r="Y32" s="122">
        <v>571</v>
      </c>
      <c r="Z32" s="132">
        <v>3969.2</v>
      </c>
      <c r="AA32" s="132">
        <v>4961.5</v>
      </c>
      <c r="AB32">
        <f t="shared" si="2"/>
        <v>4677.2</v>
      </c>
    </row>
    <row r="33" spans="1:28">
      <c r="A33" s="89">
        <v>31</v>
      </c>
      <c r="B33" s="89">
        <v>349</v>
      </c>
      <c r="C33" s="89" t="s">
        <v>157</v>
      </c>
      <c r="D33" s="89" t="s">
        <v>104</v>
      </c>
      <c r="E33" s="89" t="s">
        <v>149</v>
      </c>
      <c r="F33" s="122">
        <v>17</v>
      </c>
      <c r="G33" s="122">
        <v>23</v>
      </c>
      <c r="H33" s="122">
        <v>64</v>
      </c>
      <c r="I33" s="127">
        <v>73</v>
      </c>
      <c r="J33" s="127">
        <v>47</v>
      </c>
      <c r="K33" s="127">
        <v>53</v>
      </c>
      <c r="L33" s="127">
        <v>2</v>
      </c>
      <c r="M33" s="127">
        <v>3</v>
      </c>
      <c r="N33" s="127">
        <f t="shared" si="0"/>
        <v>113</v>
      </c>
      <c r="O33" s="127">
        <v>1</v>
      </c>
      <c r="P33" s="127">
        <v>2</v>
      </c>
      <c r="Q33" s="127">
        <v>11</v>
      </c>
      <c r="R33" s="127">
        <v>17</v>
      </c>
      <c r="S33" s="127">
        <f t="shared" si="1"/>
        <v>12</v>
      </c>
      <c r="T33" s="122">
        <v>396</v>
      </c>
      <c r="U33" s="122">
        <v>594</v>
      </c>
      <c r="V33" s="122">
        <v>540.01</v>
      </c>
      <c r="W33" s="122">
        <v>648</v>
      </c>
      <c r="X33" s="122">
        <v>274</v>
      </c>
      <c r="Y33" s="122">
        <v>384</v>
      </c>
      <c r="Z33" s="132">
        <v>285</v>
      </c>
      <c r="AA33" s="132">
        <v>399</v>
      </c>
      <c r="AB33">
        <f t="shared" si="2"/>
        <v>955</v>
      </c>
    </row>
    <row r="34" spans="1:28">
      <c r="A34" s="89">
        <v>32</v>
      </c>
      <c r="B34" s="89">
        <v>742</v>
      </c>
      <c r="C34" s="89" t="s">
        <v>158</v>
      </c>
      <c r="D34" s="89" t="s">
        <v>95</v>
      </c>
      <c r="E34" s="89" t="s">
        <v>149</v>
      </c>
      <c r="F34" s="122">
        <v>27</v>
      </c>
      <c r="G34" s="122">
        <v>34</v>
      </c>
      <c r="H34" s="122">
        <v>55</v>
      </c>
      <c r="I34" s="127">
        <v>63</v>
      </c>
      <c r="J34" s="127">
        <v>30</v>
      </c>
      <c r="K34" s="127">
        <v>33</v>
      </c>
      <c r="L34" s="127">
        <v>1</v>
      </c>
      <c r="M34" s="127">
        <v>1</v>
      </c>
      <c r="N34" s="127">
        <f t="shared" si="0"/>
        <v>86</v>
      </c>
      <c r="O34" s="127">
        <v>1</v>
      </c>
      <c r="P34" s="127">
        <v>2</v>
      </c>
      <c r="Q34" s="127">
        <v>7</v>
      </c>
      <c r="R34" s="127">
        <v>11</v>
      </c>
      <c r="S34" s="127">
        <f t="shared" si="1"/>
        <v>8</v>
      </c>
      <c r="T34" s="123">
        <v>300</v>
      </c>
      <c r="U34" s="122">
        <v>450</v>
      </c>
      <c r="V34" s="122">
        <v>168</v>
      </c>
      <c r="W34" s="122">
        <v>252</v>
      </c>
      <c r="X34" s="122">
        <v>969.5</v>
      </c>
      <c r="Y34" s="123">
        <v>1212</v>
      </c>
      <c r="Z34" s="132">
        <v>953</v>
      </c>
      <c r="AA34" s="132">
        <v>1334.2</v>
      </c>
      <c r="AB34">
        <f t="shared" si="2"/>
        <v>2222.5</v>
      </c>
    </row>
    <row r="35" spans="1:28">
      <c r="A35" s="89">
        <v>33</v>
      </c>
      <c r="B35" s="89">
        <v>721</v>
      </c>
      <c r="C35" s="89" t="s">
        <v>173</v>
      </c>
      <c r="D35" s="89" t="s">
        <v>109</v>
      </c>
      <c r="E35" s="89" t="s">
        <v>169</v>
      </c>
      <c r="F35" s="122">
        <v>17</v>
      </c>
      <c r="G35" s="122">
        <v>22</v>
      </c>
      <c r="H35" s="122">
        <v>36</v>
      </c>
      <c r="I35" s="127">
        <v>41</v>
      </c>
      <c r="J35" s="127">
        <v>44</v>
      </c>
      <c r="K35" s="127">
        <v>50</v>
      </c>
      <c r="L35" s="127">
        <v>2</v>
      </c>
      <c r="M35" s="127">
        <v>3</v>
      </c>
      <c r="N35" s="127">
        <f t="shared" si="0"/>
        <v>82</v>
      </c>
      <c r="O35" s="127">
        <v>1</v>
      </c>
      <c r="P35" s="127">
        <v>2</v>
      </c>
      <c r="Q35" s="127">
        <v>7</v>
      </c>
      <c r="R35" s="127">
        <v>11</v>
      </c>
      <c r="S35" s="127">
        <f t="shared" si="1"/>
        <v>8</v>
      </c>
      <c r="T35" s="123">
        <v>150</v>
      </c>
      <c r="U35" s="122">
        <v>225</v>
      </c>
      <c r="V35" s="122">
        <v>84.5</v>
      </c>
      <c r="W35" s="122">
        <v>169</v>
      </c>
      <c r="X35" s="122">
        <v>303.5</v>
      </c>
      <c r="Y35" s="122">
        <v>425</v>
      </c>
      <c r="Z35" s="132">
        <v>1140</v>
      </c>
      <c r="AA35" s="132">
        <v>1425</v>
      </c>
      <c r="AB35">
        <f t="shared" si="2"/>
        <v>1593.5</v>
      </c>
    </row>
    <row r="36" spans="1:28">
      <c r="A36" s="89">
        <v>34</v>
      </c>
      <c r="B36" s="89">
        <v>598</v>
      </c>
      <c r="C36" s="89" t="s">
        <v>134</v>
      </c>
      <c r="D36" s="89" t="s">
        <v>104</v>
      </c>
      <c r="E36" s="89" t="s">
        <v>127</v>
      </c>
      <c r="F36" s="122">
        <v>17</v>
      </c>
      <c r="G36" s="122">
        <v>23</v>
      </c>
      <c r="H36" s="122">
        <v>78</v>
      </c>
      <c r="I36" s="127">
        <v>85</v>
      </c>
      <c r="J36" s="127">
        <v>74</v>
      </c>
      <c r="K36" s="127">
        <v>84</v>
      </c>
      <c r="L36" s="127">
        <v>3</v>
      </c>
      <c r="M36" s="127">
        <v>4</v>
      </c>
      <c r="N36" s="127">
        <f t="shared" ref="N36:N67" si="3">H36+J36+L36</f>
        <v>155</v>
      </c>
      <c r="O36" s="127">
        <v>2</v>
      </c>
      <c r="P36" s="127">
        <v>3</v>
      </c>
      <c r="Q36" s="127">
        <v>8</v>
      </c>
      <c r="R36" s="127">
        <v>12</v>
      </c>
      <c r="S36" s="127">
        <f t="shared" ref="S36:S67" si="4">O36+Q36</f>
        <v>10</v>
      </c>
      <c r="T36" s="123">
        <v>150</v>
      </c>
      <c r="U36" s="122">
        <v>225</v>
      </c>
      <c r="V36" s="122">
        <v>84.5</v>
      </c>
      <c r="W36" s="122">
        <v>169</v>
      </c>
      <c r="X36" s="122">
        <v>507</v>
      </c>
      <c r="Y36" s="123">
        <v>634</v>
      </c>
      <c r="Z36" s="132">
        <v>959</v>
      </c>
      <c r="AA36" s="132">
        <v>1342.6</v>
      </c>
      <c r="AB36">
        <f t="shared" ref="AB36:AB67" si="5">Z36+X36+T36</f>
        <v>1616</v>
      </c>
    </row>
    <row r="37" spans="1:28">
      <c r="A37" s="89">
        <v>35</v>
      </c>
      <c r="B37" s="89">
        <v>367</v>
      </c>
      <c r="C37" s="89" t="s">
        <v>187</v>
      </c>
      <c r="D37" s="89" t="s">
        <v>109</v>
      </c>
      <c r="E37" s="89" t="s">
        <v>188</v>
      </c>
      <c r="F37" s="122">
        <v>17</v>
      </c>
      <c r="G37" s="122">
        <v>22</v>
      </c>
      <c r="H37" s="122">
        <v>24</v>
      </c>
      <c r="I37" s="127">
        <v>28</v>
      </c>
      <c r="J37" s="127">
        <v>61</v>
      </c>
      <c r="K37" s="127">
        <v>71</v>
      </c>
      <c r="L37" s="127">
        <v>1</v>
      </c>
      <c r="M37" s="127">
        <v>1</v>
      </c>
      <c r="N37" s="127">
        <f t="shared" si="3"/>
        <v>86</v>
      </c>
      <c r="O37" s="127">
        <v>1</v>
      </c>
      <c r="P37" s="127">
        <v>2</v>
      </c>
      <c r="Q37" s="127">
        <v>9</v>
      </c>
      <c r="R37" s="127">
        <v>14</v>
      </c>
      <c r="S37" s="127">
        <f t="shared" si="4"/>
        <v>10</v>
      </c>
      <c r="T37" s="122">
        <v>132</v>
      </c>
      <c r="U37" s="122">
        <v>198</v>
      </c>
      <c r="V37" s="122">
        <v>84.5</v>
      </c>
      <c r="W37" s="122">
        <v>169</v>
      </c>
      <c r="X37" s="122">
        <v>536</v>
      </c>
      <c r="Y37" s="123">
        <v>670</v>
      </c>
      <c r="Z37" s="132">
        <v>665</v>
      </c>
      <c r="AA37" s="132">
        <v>931</v>
      </c>
      <c r="AB37">
        <f t="shared" si="5"/>
        <v>1333</v>
      </c>
    </row>
    <row r="38" spans="1:28">
      <c r="A38" s="89">
        <v>36</v>
      </c>
      <c r="B38" s="89">
        <v>399</v>
      </c>
      <c r="C38" s="89" t="s">
        <v>135</v>
      </c>
      <c r="D38" s="89" t="s">
        <v>104</v>
      </c>
      <c r="E38" s="89" t="s">
        <v>127</v>
      </c>
      <c r="F38" s="122">
        <v>17</v>
      </c>
      <c r="G38" s="122">
        <v>23</v>
      </c>
      <c r="H38" s="122">
        <v>62</v>
      </c>
      <c r="I38" s="127">
        <v>71</v>
      </c>
      <c r="J38" s="127">
        <v>53</v>
      </c>
      <c r="K38" s="127">
        <v>61</v>
      </c>
      <c r="L38" s="127">
        <v>5</v>
      </c>
      <c r="M38" s="127">
        <v>7</v>
      </c>
      <c r="N38" s="127">
        <f t="shared" si="3"/>
        <v>120</v>
      </c>
      <c r="O38" s="127">
        <v>1</v>
      </c>
      <c r="P38" s="127">
        <v>2</v>
      </c>
      <c r="Q38" s="127">
        <v>10</v>
      </c>
      <c r="R38" s="127">
        <v>15</v>
      </c>
      <c r="S38" s="127">
        <f t="shared" si="4"/>
        <v>11</v>
      </c>
      <c r="T38" s="122">
        <v>396</v>
      </c>
      <c r="U38" s="122">
        <v>594</v>
      </c>
      <c r="V38" s="122">
        <v>84.5</v>
      </c>
      <c r="W38" s="122">
        <v>169</v>
      </c>
      <c r="X38" s="122">
        <v>551</v>
      </c>
      <c r="Y38" s="123">
        <v>689</v>
      </c>
      <c r="Z38" s="132">
        <v>1447</v>
      </c>
      <c r="AA38" s="132">
        <v>1808.75</v>
      </c>
      <c r="AB38">
        <f t="shared" si="5"/>
        <v>2394</v>
      </c>
    </row>
    <row r="39" spans="1:28">
      <c r="A39" s="89">
        <v>37</v>
      </c>
      <c r="B39" s="89">
        <v>379</v>
      </c>
      <c r="C39" s="89" t="s">
        <v>105</v>
      </c>
      <c r="D39" s="89" t="s">
        <v>104</v>
      </c>
      <c r="E39" s="89" t="s">
        <v>93</v>
      </c>
      <c r="F39" s="122">
        <v>17</v>
      </c>
      <c r="G39" s="122">
        <v>23</v>
      </c>
      <c r="H39" s="122">
        <v>30</v>
      </c>
      <c r="I39" s="127">
        <v>35</v>
      </c>
      <c r="J39" s="127">
        <v>47</v>
      </c>
      <c r="K39" s="127">
        <v>53</v>
      </c>
      <c r="L39" s="127">
        <v>2</v>
      </c>
      <c r="M39" s="127">
        <v>3</v>
      </c>
      <c r="N39" s="127">
        <f t="shared" si="3"/>
        <v>79</v>
      </c>
      <c r="O39" s="127">
        <v>1</v>
      </c>
      <c r="P39" s="127">
        <v>2</v>
      </c>
      <c r="Q39" s="127">
        <v>5</v>
      </c>
      <c r="R39" s="127">
        <v>8</v>
      </c>
      <c r="S39" s="127">
        <f t="shared" si="4"/>
        <v>6</v>
      </c>
      <c r="T39" s="122">
        <v>858</v>
      </c>
      <c r="U39" s="122">
        <v>1201.2</v>
      </c>
      <c r="V39" s="122">
        <v>84.5</v>
      </c>
      <c r="W39" s="122">
        <v>169</v>
      </c>
      <c r="X39" s="122">
        <v>441.5</v>
      </c>
      <c r="Y39" s="122">
        <v>618</v>
      </c>
      <c r="Z39" s="132">
        <v>1755</v>
      </c>
      <c r="AA39" s="132">
        <v>2193.75</v>
      </c>
      <c r="AB39">
        <f t="shared" si="5"/>
        <v>3054.5</v>
      </c>
    </row>
    <row r="40" spans="1:28">
      <c r="A40" s="89">
        <v>38</v>
      </c>
      <c r="B40" s="89">
        <v>511</v>
      </c>
      <c r="C40" s="89" t="s">
        <v>159</v>
      </c>
      <c r="D40" s="89" t="s">
        <v>107</v>
      </c>
      <c r="E40" s="89" t="s">
        <v>149</v>
      </c>
      <c r="F40" s="122">
        <v>17</v>
      </c>
      <c r="G40" s="122">
        <v>22</v>
      </c>
      <c r="H40" s="122">
        <v>35</v>
      </c>
      <c r="I40" s="127">
        <v>40</v>
      </c>
      <c r="J40" s="127">
        <v>34</v>
      </c>
      <c r="K40" s="127">
        <v>38</v>
      </c>
      <c r="L40" s="127">
        <v>2</v>
      </c>
      <c r="M40" s="127">
        <v>3</v>
      </c>
      <c r="N40" s="127">
        <f t="shared" si="3"/>
        <v>71</v>
      </c>
      <c r="O40" s="127">
        <v>1</v>
      </c>
      <c r="P40" s="127">
        <v>2</v>
      </c>
      <c r="Q40" s="127">
        <v>7</v>
      </c>
      <c r="R40" s="127">
        <v>11</v>
      </c>
      <c r="S40" s="127">
        <f t="shared" si="4"/>
        <v>8</v>
      </c>
      <c r="T40" s="122">
        <v>257</v>
      </c>
      <c r="U40" s="122">
        <v>385.5</v>
      </c>
      <c r="V40" s="122">
        <v>84.5</v>
      </c>
      <c r="W40" s="122">
        <v>169</v>
      </c>
      <c r="X40" s="122">
        <v>1004.5</v>
      </c>
      <c r="Y40" s="122">
        <v>1105</v>
      </c>
      <c r="Z40" s="132">
        <v>2078.68</v>
      </c>
      <c r="AA40" s="132">
        <v>2598.35</v>
      </c>
      <c r="AB40">
        <f t="shared" si="5"/>
        <v>3340.18</v>
      </c>
    </row>
    <row r="41" spans="1:28">
      <c r="A41" s="89">
        <v>39</v>
      </c>
      <c r="B41" s="89">
        <v>54</v>
      </c>
      <c r="C41" s="89" t="s">
        <v>189</v>
      </c>
      <c r="D41" s="89" t="s">
        <v>104</v>
      </c>
      <c r="E41" s="89" t="s">
        <v>188</v>
      </c>
      <c r="F41" s="122">
        <v>17</v>
      </c>
      <c r="G41" s="122">
        <v>23</v>
      </c>
      <c r="H41" s="122">
        <v>33</v>
      </c>
      <c r="I41" s="127">
        <v>38</v>
      </c>
      <c r="J41" s="127">
        <v>63</v>
      </c>
      <c r="K41" s="127">
        <v>73</v>
      </c>
      <c r="L41" s="127">
        <v>2</v>
      </c>
      <c r="M41" s="127">
        <v>3</v>
      </c>
      <c r="N41" s="127">
        <f t="shared" si="3"/>
        <v>98</v>
      </c>
      <c r="O41" s="127">
        <v>1</v>
      </c>
      <c r="P41" s="127">
        <v>2</v>
      </c>
      <c r="Q41" s="127">
        <v>23</v>
      </c>
      <c r="R41" s="127">
        <v>30</v>
      </c>
      <c r="S41" s="127">
        <f t="shared" si="4"/>
        <v>24</v>
      </c>
      <c r="T41" s="122">
        <v>780</v>
      </c>
      <c r="U41" s="122">
        <v>1092</v>
      </c>
      <c r="V41" s="122">
        <v>84.5</v>
      </c>
      <c r="W41" s="122">
        <v>169</v>
      </c>
      <c r="X41" s="122">
        <v>685</v>
      </c>
      <c r="Y41" s="123">
        <v>856</v>
      </c>
      <c r="Z41" s="132">
        <v>6337</v>
      </c>
      <c r="AA41" s="132">
        <v>6970.7</v>
      </c>
      <c r="AB41">
        <f t="shared" si="5"/>
        <v>7802</v>
      </c>
    </row>
    <row r="42" spans="1:28">
      <c r="A42" s="89">
        <v>40</v>
      </c>
      <c r="B42" s="89">
        <v>52</v>
      </c>
      <c r="C42" s="89" t="s">
        <v>190</v>
      </c>
      <c r="D42" s="89" t="s">
        <v>104</v>
      </c>
      <c r="E42" s="89" t="s">
        <v>188</v>
      </c>
      <c r="F42" s="122">
        <v>17</v>
      </c>
      <c r="G42" s="122">
        <v>23</v>
      </c>
      <c r="H42" s="122">
        <v>35</v>
      </c>
      <c r="I42" s="127">
        <v>40</v>
      </c>
      <c r="J42" s="127">
        <v>36</v>
      </c>
      <c r="K42" s="127">
        <v>41</v>
      </c>
      <c r="L42" s="127">
        <v>2</v>
      </c>
      <c r="M42" s="127">
        <v>3</v>
      </c>
      <c r="N42" s="127">
        <f t="shared" si="3"/>
        <v>73</v>
      </c>
      <c r="O42" s="127">
        <v>1</v>
      </c>
      <c r="P42" s="127">
        <v>2</v>
      </c>
      <c r="Q42" s="127">
        <v>14</v>
      </c>
      <c r="R42" s="127">
        <v>18</v>
      </c>
      <c r="S42" s="127">
        <f t="shared" si="4"/>
        <v>15</v>
      </c>
      <c r="T42" s="122">
        <v>136</v>
      </c>
      <c r="U42" s="122">
        <v>204</v>
      </c>
      <c r="V42" s="122">
        <v>84.5</v>
      </c>
      <c r="W42" s="122">
        <v>169</v>
      </c>
      <c r="X42" s="122">
        <v>935.01</v>
      </c>
      <c r="Y42" s="123">
        <v>1169</v>
      </c>
      <c r="Z42" s="132">
        <v>2573.76</v>
      </c>
      <c r="AA42" s="132">
        <v>3217.2</v>
      </c>
      <c r="AB42">
        <f t="shared" si="5"/>
        <v>3644.77</v>
      </c>
    </row>
    <row r="43" spans="1:28">
      <c r="A43" s="89">
        <v>41</v>
      </c>
      <c r="B43" s="89">
        <v>573</v>
      </c>
      <c r="C43" s="89" t="s">
        <v>136</v>
      </c>
      <c r="D43" s="89" t="s">
        <v>107</v>
      </c>
      <c r="E43" s="89" t="s">
        <v>127</v>
      </c>
      <c r="F43" s="122">
        <v>6</v>
      </c>
      <c r="G43" s="122">
        <v>11</v>
      </c>
      <c r="H43" s="122">
        <v>41</v>
      </c>
      <c r="I43" s="127">
        <v>47</v>
      </c>
      <c r="J43" s="127">
        <v>60</v>
      </c>
      <c r="K43" s="127">
        <v>69</v>
      </c>
      <c r="L43" s="127">
        <v>2</v>
      </c>
      <c r="M43" s="127">
        <v>3</v>
      </c>
      <c r="N43" s="127">
        <f t="shared" si="3"/>
        <v>103</v>
      </c>
      <c r="O43" s="127">
        <v>1</v>
      </c>
      <c r="P43" s="127">
        <v>2</v>
      </c>
      <c r="Q43" s="127">
        <v>2</v>
      </c>
      <c r="R43" s="127">
        <v>4</v>
      </c>
      <c r="S43" s="127">
        <f t="shared" si="4"/>
        <v>3</v>
      </c>
      <c r="T43" s="123">
        <v>150</v>
      </c>
      <c r="U43" s="122">
        <v>225</v>
      </c>
      <c r="V43" s="122">
        <v>84.5</v>
      </c>
      <c r="W43" s="122">
        <v>169</v>
      </c>
      <c r="X43" s="122">
        <v>784.44</v>
      </c>
      <c r="Y43" s="123">
        <v>981</v>
      </c>
      <c r="Z43" s="132">
        <v>389.01</v>
      </c>
      <c r="AA43" s="132">
        <v>544.61</v>
      </c>
      <c r="AB43">
        <f t="shared" si="5"/>
        <v>1323.45</v>
      </c>
    </row>
    <row r="44" spans="1:28">
      <c r="A44" s="89">
        <v>42</v>
      </c>
      <c r="B44" s="89">
        <v>745</v>
      </c>
      <c r="C44" s="89" t="s">
        <v>106</v>
      </c>
      <c r="D44" s="89" t="s">
        <v>107</v>
      </c>
      <c r="E44" s="89" t="s">
        <v>93</v>
      </c>
      <c r="F44" s="122">
        <v>17</v>
      </c>
      <c r="G44" s="122">
        <v>22</v>
      </c>
      <c r="H44" s="122">
        <v>45</v>
      </c>
      <c r="I44" s="127">
        <v>52</v>
      </c>
      <c r="J44" s="127">
        <v>67</v>
      </c>
      <c r="K44" s="127">
        <v>78</v>
      </c>
      <c r="L44" s="127">
        <v>2</v>
      </c>
      <c r="M44" s="127">
        <v>3</v>
      </c>
      <c r="N44" s="127">
        <f t="shared" si="3"/>
        <v>114</v>
      </c>
      <c r="O44" s="127">
        <v>1</v>
      </c>
      <c r="P44" s="127">
        <v>2</v>
      </c>
      <c r="Q44" s="127">
        <v>1</v>
      </c>
      <c r="R44" s="127">
        <v>3</v>
      </c>
      <c r="S44" s="127">
        <f t="shared" si="4"/>
        <v>2</v>
      </c>
      <c r="T44" s="123">
        <v>150</v>
      </c>
      <c r="U44" s="122">
        <v>225</v>
      </c>
      <c r="V44" s="122">
        <v>84.5</v>
      </c>
      <c r="W44" s="122">
        <v>169</v>
      </c>
      <c r="X44" s="122">
        <v>651.5</v>
      </c>
      <c r="Y44" s="123">
        <v>814</v>
      </c>
      <c r="Z44" s="132">
        <v>652</v>
      </c>
      <c r="AA44" s="132">
        <v>912.8</v>
      </c>
      <c r="AB44">
        <f t="shared" si="5"/>
        <v>1453.5</v>
      </c>
    </row>
    <row r="45" spans="1:28">
      <c r="A45" s="89">
        <v>43</v>
      </c>
      <c r="B45" s="89">
        <v>377</v>
      </c>
      <c r="C45" s="89" t="s">
        <v>137</v>
      </c>
      <c r="D45" s="89" t="s">
        <v>104</v>
      </c>
      <c r="E45" s="89" t="s">
        <v>127</v>
      </c>
      <c r="F45" s="122">
        <v>17</v>
      </c>
      <c r="G45" s="122">
        <v>23</v>
      </c>
      <c r="H45" s="122">
        <v>77</v>
      </c>
      <c r="I45" s="127">
        <v>84</v>
      </c>
      <c r="J45" s="127">
        <v>80</v>
      </c>
      <c r="K45" s="127">
        <v>91</v>
      </c>
      <c r="L45" s="127">
        <v>2</v>
      </c>
      <c r="M45" s="127">
        <v>3</v>
      </c>
      <c r="N45" s="127">
        <f t="shared" si="3"/>
        <v>159</v>
      </c>
      <c r="O45" s="127">
        <v>4</v>
      </c>
      <c r="P45" s="127">
        <v>6</v>
      </c>
      <c r="Q45" s="127">
        <v>5</v>
      </c>
      <c r="R45" s="127">
        <v>8</v>
      </c>
      <c r="S45" s="127">
        <f t="shared" si="4"/>
        <v>9</v>
      </c>
      <c r="T45" s="122">
        <v>390</v>
      </c>
      <c r="U45" s="122">
        <v>585</v>
      </c>
      <c r="V45" s="122">
        <v>84.5</v>
      </c>
      <c r="W45" s="122">
        <v>169</v>
      </c>
      <c r="X45" s="122">
        <v>851</v>
      </c>
      <c r="Y45" s="123">
        <v>1064</v>
      </c>
      <c r="Z45" s="132">
        <v>1357</v>
      </c>
      <c r="AA45" s="132">
        <v>1696.25</v>
      </c>
      <c r="AB45">
        <f t="shared" si="5"/>
        <v>2598</v>
      </c>
    </row>
    <row r="46" spans="1:28">
      <c r="A46" s="89">
        <v>44</v>
      </c>
      <c r="B46" s="89">
        <v>743</v>
      </c>
      <c r="C46" s="89" t="s">
        <v>138</v>
      </c>
      <c r="D46" s="89" t="s">
        <v>139</v>
      </c>
      <c r="E46" s="89" t="s">
        <v>127</v>
      </c>
      <c r="F46" s="122">
        <v>6</v>
      </c>
      <c r="G46" s="122">
        <v>9</v>
      </c>
      <c r="H46" s="122">
        <v>36</v>
      </c>
      <c r="I46" s="127">
        <v>41</v>
      </c>
      <c r="J46" s="127">
        <v>27</v>
      </c>
      <c r="K46" s="127">
        <v>29</v>
      </c>
      <c r="L46" s="127">
        <v>3</v>
      </c>
      <c r="M46" s="127">
        <v>4</v>
      </c>
      <c r="N46" s="127">
        <f t="shared" si="3"/>
        <v>66</v>
      </c>
      <c r="O46" s="127">
        <v>1</v>
      </c>
      <c r="P46" s="127">
        <v>2</v>
      </c>
      <c r="Q46" s="127">
        <v>1</v>
      </c>
      <c r="R46" s="127">
        <v>3</v>
      </c>
      <c r="S46" s="127">
        <f t="shared" si="4"/>
        <v>2</v>
      </c>
      <c r="T46" s="122">
        <v>100</v>
      </c>
      <c r="U46" s="122">
        <v>150</v>
      </c>
      <c r="V46" s="122">
        <v>84.5</v>
      </c>
      <c r="W46" s="122">
        <v>169</v>
      </c>
      <c r="X46" s="122">
        <v>545</v>
      </c>
      <c r="Y46" s="123">
        <v>681</v>
      </c>
      <c r="Z46" s="132">
        <v>1720</v>
      </c>
      <c r="AA46" s="132">
        <v>2150</v>
      </c>
      <c r="AB46">
        <f t="shared" si="5"/>
        <v>2365</v>
      </c>
    </row>
    <row r="47" spans="1:28">
      <c r="A47" s="89">
        <v>45</v>
      </c>
      <c r="B47" s="89">
        <v>347</v>
      </c>
      <c r="C47" s="89" t="s">
        <v>108</v>
      </c>
      <c r="D47" s="89" t="s">
        <v>109</v>
      </c>
      <c r="E47" s="89" t="s">
        <v>93</v>
      </c>
      <c r="F47" s="122">
        <v>17</v>
      </c>
      <c r="G47" s="122">
        <v>22</v>
      </c>
      <c r="H47" s="122">
        <v>15</v>
      </c>
      <c r="I47" s="127">
        <v>17</v>
      </c>
      <c r="J47" s="127">
        <v>55</v>
      </c>
      <c r="K47" s="127">
        <v>63</v>
      </c>
      <c r="L47" s="127">
        <v>6</v>
      </c>
      <c r="M47" s="127">
        <v>8</v>
      </c>
      <c r="N47" s="127">
        <f t="shared" si="3"/>
        <v>76</v>
      </c>
      <c r="O47" s="127">
        <v>1</v>
      </c>
      <c r="P47" s="127">
        <v>2</v>
      </c>
      <c r="Q47" s="127">
        <v>6</v>
      </c>
      <c r="R47" s="127">
        <v>9</v>
      </c>
      <c r="S47" s="127">
        <f t="shared" si="4"/>
        <v>7</v>
      </c>
      <c r="T47" s="123">
        <v>150</v>
      </c>
      <c r="U47" s="122">
        <v>225</v>
      </c>
      <c r="V47" s="122">
        <v>84.5</v>
      </c>
      <c r="W47" s="122">
        <v>169</v>
      </c>
      <c r="X47" s="122">
        <v>838.5</v>
      </c>
      <c r="Y47" s="123">
        <v>1048</v>
      </c>
      <c r="Z47" s="132">
        <v>744.9</v>
      </c>
      <c r="AA47" s="132">
        <v>1042.86</v>
      </c>
      <c r="AB47">
        <f t="shared" si="5"/>
        <v>1733.4</v>
      </c>
    </row>
    <row r="48" spans="1:28">
      <c r="A48" s="89">
        <v>46</v>
      </c>
      <c r="B48" s="89">
        <v>717</v>
      </c>
      <c r="C48" s="89" t="s">
        <v>174</v>
      </c>
      <c r="D48" s="89" t="s">
        <v>109</v>
      </c>
      <c r="E48" s="89" t="s">
        <v>169</v>
      </c>
      <c r="F48" s="122">
        <v>6</v>
      </c>
      <c r="G48" s="122">
        <v>11</v>
      </c>
      <c r="H48" s="122">
        <v>23</v>
      </c>
      <c r="I48" s="127">
        <v>27</v>
      </c>
      <c r="J48" s="127">
        <v>29</v>
      </c>
      <c r="K48" s="127">
        <v>32</v>
      </c>
      <c r="L48" s="127">
        <v>1</v>
      </c>
      <c r="M48" s="127">
        <v>1</v>
      </c>
      <c r="N48" s="127">
        <f t="shared" si="3"/>
        <v>53</v>
      </c>
      <c r="O48" s="127">
        <v>1</v>
      </c>
      <c r="P48" s="127">
        <v>2</v>
      </c>
      <c r="Q48" s="127">
        <v>2</v>
      </c>
      <c r="R48" s="127">
        <v>4</v>
      </c>
      <c r="S48" s="127">
        <f t="shared" si="4"/>
        <v>3</v>
      </c>
      <c r="T48" s="123">
        <v>150</v>
      </c>
      <c r="U48" s="122">
        <v>225</v>
      </c>
      <c r="V48" s="122">
        <v>84.5</v>
      </c>
      <c r="W48" s="122">
        <v>169</v>
      </c>
      <c r="X48" s="122">
        <v>832.67</v>
      </c>
      <c r="Y48" s="123">
        <v>1041</v>
      </c>
      <c r="Z48" s="132">
        <v>380</v>
      </c>
      <c r="AA48" s="132">
        <v>530</v>
      </c>
      <c r="AB48">
        <f t="shared" si="5"/>
        <v>1362.67</v>
      </c>
    </row>
    <row r="49" spans="1:28">
      <c r="A49" s="89">
        <v>47</v>
      </c>
      <c r="B49" s="89">
        <v>587</v>
      </c>
      <c r="C49" s="89" t="s">
        <v>191</v>
      </c>
      <c r="D49" s="89" t="s">
        <v>104</v>
      </c>
      <c r="E49" s="89" t="s">
        <v>188</v>
      </c>
      <c r="F49" s="122">
        <v>17</v>
      </c>
      <c r="G49" s="122">
        <v>23</v>
      </c>
      <c r="H49" s="122">
        <v>35</v>
      </c>
      <c r="I49" s="127">
        <v>40</v>
      </c>
      <c r="J49" s="127">
        <v>47</v>
      </c>
      <c r="K49" s="127">
        <v>53</v>
      </c>
      <c r="L49" s="127">
        <v>2</v>
      </c>
      <c r="M49" s="127">
        <v>3</v>
      </c>
      <c r="N49" s="127">
        <f t="shared" si="3"/>
        <v>84</v>
      </c>
      <c r="O49" s="127">
        <v>1</v>
      </c>
      <c r="P49" s="127">
        <v>2</v>
      </c>
      <c r="Q49" s="127">
        <v>15</v>
      </c>
      <c r="R49" s="127">
        <v>20</v>
      </c>
      <c r="S49" s="127">
        <f t="shared" si="4"/>
        <v>16</v>
      </c>
      <c r="T49" s="122">
        <v>2410</v>
      </c>
      <c r="U49" s="122">
        <v>2892</v>
      </c>
      <c r="V49" s="122">
        <v>256.51</v>
      </c>
      <c r="W49" s="122">
        <v>384.8</v>
      </c>
      <c r="X49" s="122">
        <v>753.5</v>
      </c>
      <c r="Y49" s="123">
        <v>942</v>
      </c>
      <c r="Z49" s="132">
        <v>977</v>
      </c>
      <c r="AA49" s="132">
        <v>1367.8</v>
      </c>
      <c r="AB49">
        <f t="shared" si="5"/>
        <v>4140.5</v>
      </c>
    </row>
    <row r="50" spans="1:28">
      <c r="A50" s="89">
        <v>48</v>
      </c>
      <c r="B50" s="89">
        <v>747</v>
      </c>
      <c r="C50" s="89" t="s">
        <v>160</v>
      </c>
      <c r="D50" s="89" t="s">
        <v>139</v>
      </c>
      <c r="E50" s="89" t="s">
        <v>149</v>
      </c>
      <c r="F50" s="122">
        <v>6</v>
      </c>
      <c r="G50" s="122">
        <v>9</v>
      </c>
      <c r="H50" s="122">
        <v>10</v>
      </c>
      <c r="I50" s="127">
        <v>10</v>
      </c>
      <c r="J50" s="127">
        <v>27</v>
      </c>
      <c r="K50" s="127">
        <v>29</v>
      </c>
      <c r="L50" s="127">
        <v>1</v>
      </c>
      <c r="M50" s="127">
        <v>1</v>
      </c>
      <c r="N50" s="127">
        <f t="shared" si="3"/>
        <v>38</v>
      </c>
      <c r="O50" s="127">
        <v>2</v>
      </c>
      <c r="P50" s="127">
        <v>3</v>
      </c>
      <c r="Q50" s="127">
        <v>10</v>
      </c>
      <c r="R50" s="127">
        <v>15</v>
      </c>
      <c r="S50" s="127">
        <f t="shared" si="4"/>
        <v>12</v>
      </c>
      <c r="T50" s="122">
        <v>910.5</v>
      </c>
      <c r="U50" s="122">
        <v>1274.7</v>
      </c>
      <c r="V50" s="122">
        <v>84.5</v>
      </c>
      <c r="W50" s="122">
        <v>169</v>
      </c>
      <c r="X50" s="122">
        <v>508.5</v>
      </c>
      <c r="Y50" s="123">
        <v>636</v>
      </c>
      <c r="Z50" s="132">
        <v>763</v>
      </c>
      <c r="AA50" s="132">
        <v>1068.2</v>
      </c>
      <c r="AB50">
        <f t="shared" si="5"/>
        <v>2182</v>
      </c>
    </row>
    <row r="51" spans="1:28">
      <c r="A51" s="89">
        <v>49</v>
      </c>
      <c r="B51" s="89">
        <v>591</v>
      </c>
      <c r="C51" s="89" t="s">
        <v>175</v>
      </c>
      <c r="D51" s="89" t="s">
        <v>109</v>
      </c>
      <c r="E51" s="89" t="s">
        <v>169</v>
      </c>
      <c r="F51" s="122">
        <v>17</v>
      </c>
      <c r="G51" s="122">
        <v>22</v>
      </c>
      <c r="H51" s="122">
        <v>65</v>
      </c>
      <c r="I51" s="127">
        <v>75</v>
      </c>
      <c r="J51" s="127">
        <v>53</v>
      </c>
      <c r="K51" s="127">
        <v>61</v>
      </c>
      <c r="L51" s="127">
        <v>2</v>
      </c>
      <c r="M51" s="127">
        <v>3</v>
      </c>
      <c r="N51" s="127">
        <f t="shared" si="3"/>
        <v>120</v>
      </c>
      <c r="O51" s="127">
        <v>1</v>
      </c>
      <c r="P51" s="127">
        <v>2</v>
      </c>
      <c r="Q51" s="127">
        <v>3</v>
      </c>
      <c r="R51" s="127">
        <v>5</v>
      </c>
      <c r="S51" s="127">
        <f t="shared" si="4"/>
        <v>4</v>
      </c>
      <c r="T51" s="122">
        <v>168.3</v>
      </c>
      <c r="U51" s="122">
        <v>252.45</v>
      </c>
      <c r="V51" s="122">
        <v>84.5</v>
      </c>
      <c r="W51" s="122">
        <v>169</v>
      </c>
      <c r="X51" s="122">
        <v>583.45</v>
      </c>
      <c r="Y51" s="123">
        <v>729</v>
      </c>
      <c r="Z51" s="132">
        <v>1235</v>
      </c>
      <c r="AA51" s="132">
        <v>1543.75</v>
      </c>
      <c r="AB51">
        <f t="shared" si="5"/>
        <v>1986.75</v>
      </c>
    </row>
    <row r="52" spans="1:28">
      <c r="A52" s="89">
        <v>50</v>
      </c>
      <c r="B52" s="89">
        <v>727</v>
      </c>
      <c r="C52" s="89" t="s">
        <v>110</v>
      </c>
      <c r="D52" s="89" t="s">
        <v>107</v>
      </c>
      <c r="E52" s="89" t="s">
        <v>93</v>
      </c>
      <c r="F52" s="122">
        <v>6</v>
      </c>
      <c r="G52" s="122">
        <v>11</v>
      </c>
      <c r="H52" s="122">
        <v>12</v>
      </c>
      <c r="I52" s="127">
        <v>13</v>
      </c>
      <c r="J52" s="127">
        <v>32</v>
      </c>
      <c r="K52" s="127">
        <v>36</v>
      </c>
      <c r="L52" s="127">
        <v>1</v>
      </c>
      <c r="M52" s="127">
        <v>1</v>
      </c>
      <c r="N52" s="127">
        <f t="shared" si="3"/>
        <v>45</v>
      </c>
      <c r="O52" s="127">
        <v>3</v>
      </c>
      <c r="P52" s="127">
        <v>4</v>
      </c>
      <c r="Q52" s="127">
        <v>1</v>
      </c>
      <c r="R52" s="127">
        <v>3</v>
      </c>
      <c r="S52" s="127">
        <f t="shared" si="4"/>
        <v>4</v>
      </c>
      <c r="T52" s="123">
        <v>150</v>
      </c>
      <c r="U52" s="122">
        <v>225</v>
      </c>
      <c r="V52" s="122">
        <v>1339.52</v>
      </c>
      <c r="W52" s="122">
        <v>1540.4</v>
      </c>
      <c r="X52" s="122">
        <v>479.5</v>
      </c>
      <c r="Y52" s="122">
        <v>671</v>
      </c>
      <c r="Z52" s="132">
        <v>1054</v>
      </c>
      <c r="AA52" s="132">
        <v>1317.5</v>
      </c>
      <c r="AB52">
        <f t="shared" si="5"/>
        <v>1683.5</v>
      </c>
    </row>
    <row r="53" spans="1:28">
      <c r="A53" s="89">
        <v>51</v>
      </c>
      <c r="B53" s="89">
        <v>748</v>
      </c>
      <c r="C53" s="89" t="s">
        <v>176</v>
      </c>
      <c r="D53" s="89" t="s">
        <v>113</v>
      </c>
      <c r="E53" s="89" t="s">
        <v>169</v>
      </c>
      <c r="F53" s="122">
        <v>6</v>
      </c>
      <c r="G53" s="122">
        <v>9</v>
      </c>
      <c r="H53" s="122">
        <v>21</v>
      </c>
      <c r="I53" s="127">
        <v>24</v>
      </c>
      <c r="J53" s="127">
        <v>14</v>
      </c>
      <c r="K53" s="127">
        <v>13</v>
      </c>
      <c r="L53" s="127">
        <v>2</v>
      </c>
      <c r="M53" s="127">
        <v>3</v>
      </c>
      <c r="N53" s="127">
        <f t="shared" si="3"/>
        <v>37</v>
      </c>
      <c r="O53" s="127">
        <v>1</v>
      </c>
      <c r="P53" s="127">
        <v>2</v>
      </c>
      <c r="Q53" s="127">
        <v>7</v>
      </c>
      <c r="R53" s="127">
        <v>11</v>
      </c>
      <c r="S53" s="127">
        <f t="shared" si="4"/>
        <v>8</v>
      </c>
      <c r="T53" s="122">
        <v>264</v>
      </c>
      <c r="U53" s="122">
        <v>396</v>
      </c>
      <c r="V53" s="122">
        <v>169</v>
      </c>
      <c r="W53" s="122">
        <v>253.5</v>
      </c>
      <c r="X53" s="122">
        <v>983.54</v>
      </c>
      <c r="Y53" s="123">
        <v>1229</v>
      </c>
      <c r="Z53" s="132">
        <v>752</v>
      </c>
      <c r="AA53" s="132">
        <v>1052.8</v>
      </c>
      <c r="AB53">
        <f t="shared" si="5"/>
        <v>1999.54</v>
      </c>
    </row>
    <row r="54" spans="1:28">
      <c r="A54" s="89">
        <v>52</v>
      </c>
      <c r="B54" s="89">
        <v>584</v>
      </c>
      <c r="C54" s="89" t="s">
        <v>140</v>
      </c>
      <c r="D54" s="89" t="s">
        <v>139</v>
      </c>
      <c r="E54" s="89" t="s">
        <v>127</v>
      </c>
      <c r="F54" s="122">
        <v>6</v>
      </c>
      <c r="G54" s="122">
        <v>9</v>
      </c>
      <c r="H54" s="122">
        <v>11</v>
      </c>
      <c r="I54" s="127">
        <v>12</v>
      </c>
      <c r="J54" s="127">
        <v>39</v>
      </c>
      <c r="K54" s="127">
        <v>45</v>
      </c>
      <c r="L54" s="127">
        <v>3</v>
      </c>
      <c r="M54" s="127">
        <v>4</v>
      </c>
      <c r="N54" s="127">
        <f t="shared" si="3"/>
        <v>53</v>
      </c>
      <c r="O54" s="127">
        <v>1</v>
      </c>
      <c r="P54" s="127">
        <v>2</v>
      </c>
      <c r="Q54" s="127">
        <v>10</v>
      </c>
      <c r="R54" s="127">
        <v>15</v>
      </c>
      <c r="S54" s="127">
        <f t="shared" si="4"/>
        <v>11</v>
      </c>
      <c r="T54" s="122">
        <v>270</v>
      </c>
      <c r="U54" s="122">
        <v>405</v>
      </c>
      <c r="V54" s="122">
        <v>360.01</v>
      </c>
      <c r="W54" s="122">
        <v>540</v>
      </c>
      <c r="X54" s="122">
        <v>732</v>
      </c>
      <c r="Y54" s="123">
        <v>915</v>
      </c>
      <c r="Z54" s="132">
        <v>1556</v>
      </c>
      <c r="AA54" s="132">
        <v>1945</v>
      </c>
      <c r="AB54">
        <f t="shared" si="5"/>
        <v>2558</v>
      </c>
    </row>
    <row r="55" spans="1:28">
      <c r="A55" s="89">
        <v>53</v>
      </c>
      <c r="B55" s="89">
        <v>329</v>
      </c>
      <c r="C55" s="89" t="s">
        <v>192</v>
      </c>
      <c r="D55" s="89" t="s">
        <v>95</v>
      </c>
      <c r="E55" s="89" t="s">
        <v>188</v>
      </c>
      <c r="F55" s="122">
        <v>20</v>
      </c>
      <c r="G55" s="122">
        <v>27</v>
      </c>
      <c r="H55" s="122">
        <v>18</v>
      </c>
      <c r="I55" s="127">
        <v>20</v>
      </c>
      <c r="J55" s="127">
        <v>37</v>
      </c>
      <c r="K55" s="127">
        <v>42</v>
      </c>
      <c r="L55" s="127">
        <v>4</v>
      </c>
      <c r="M55" s="127">
        <v>5</v>
      </c>
      <c r="N55" s="127">
        <f t="shared" si="3"/>
        <v>59</v>
      </c>
      <c r="O55" s="127">
        <v>1</v>
      </c>
      <c r="P55" s="127">
        <v>2</v>
      </c>
      <c r="Q55" s="127">
        <v>26</v>
      </c>
      <c r="R55" s="127">
        <v>34</v>
      </c>
      <c r="S55" s="127">
        <f t="shared" si="4"/>
        <v>27</v>
      </c>
      <c r="T55" s="122">
        <v>600.6</v>
      </c>
      <c r="U55" s="122">
        <v>840.84</v>
      </c>
      <c r="V55" s="122">
        <v>616.8</v>
      </c>
      <c r="W55" s="122">
        <v>740.2</v>
      </c>
      <c r="X55" s="122">
        <v>418.5</v>
      </c>
      <c r="Y55" s="122">
        <v>586</v>
      </c>
      <c r="Z55" s="132">
        <v>3976</v>
      </c>
      <c r="AA55" s="132">
        <v>4970</v>
      </c>
      <c r="AB55">
        <f t="shared" si="5"/>
        <v>4995.1</v>
      </c>
    </row>
    <row r="56" spans="1:28">
      <c r="A56" s="89">
        <v>54</v>
      </c>
      <c r="B56" s="89">
        <v>737</v>
      </c>
      <c r="C56" s="89" t="s">
        <v>141</v>
      </c>
      <c r="D56" s="89" t="s">
        <v>107</v>
      </c>
      <c r="E56" s="89" t="s">
        <v>127</v>
      </c>
      <c r="F56" s="122">
        <v>17</v>
      </c>
      <c r="G56" s="122">
        <v>22</v>
      </c>
      <c r="H56" s="122">
        <v>35</v>
      </c>
      <c r="I56" s="127">
        <v>40</v>
      </c>
      <c r="J56" s="127">
        <v>76</v>
      </c>
      <c r="K56" s="127">
        <v>86</v>
      </c>
      <c r="L56" s="127">
        <v>4</v>
      </c>
      <c r="M56" s="127">
        <v>5</v>
      </c>
      <c r="N56" s="127">
        <f t="shared" si="3"/>
        <v>115</v>
      </c>
      <c r="O56" s="127">
        <v>6</v>
      </c>
      <c r="P56" s="127">
        <v>9</v>
      </c>
      <c r="Q56" s="127">
        <v>6</v>
      </c>
      <c r="R56" s="127">
        <v>9</v>
      </c>
      <c r="S56" s="127">
        <f t="shared" si="4"/>
        <v>12</v>
      </c>
      <c r="T56" s="122">
        <v>198</v>
      </c>
      <c r="U56" s="122">
        <v>297</v>
      </c>
      <c r="V56" s="122">
        <v>86</v>
      </c>
      <c r="W56" s="122">
        <v>172</v>
      </c>
      <c r="X56" s="122">
        <v>306</v>
      </c>
      <c r="Y56" s="122">
        <v>428</v>
      </c>
      <c r="Z56" s="132">
        <v>660.13</v>
      </c>
      <c r="AA56" s="132">
        <v>924.18</v>
      </c>
      <c r="AB56">
        <f t="shared" si="5"/>
        <v>1164.13</v>
      </c>
    </row>
    <row r="57" spans="1:28">
      <c r="A57" s="89">
        <v>55</v>
      </c>
      <c r="B57" s="89">
        <v>754</v>
      </c>
      <c r="C57" s="89" t="s">
        <v>193</v>
      </c>
      <c r="D57" s="89" t="s">
        <v>139</v>
      </c>
      <c r="E57" s="89" t="s">
        <v>188</v>
      </c>
      <c r="F57" s="122">
        <v>12</v>
      </c>
      <c r="G57" s="122">
        <v>15</v>
      </c>
      <c r="H57" s="122">
        <v>9</v>
      </c>
      <c r="I57" s="127">
        <v>9</v>
      </c>
      <c r="J57" s="127">
        <v>20</v>
      </c>
      <c r="K57" s="127">
        <v>20</v>
      </c>
      <c r="L57" s="127">
        <v>1</v>
      </c>
      <c r="M57" s="127">
        <v>1</v>
      </c>
      <c r="N57" s="127">
        <f t="shared" si="3"/>
        <v>30</v>
      </c>
      <c r="O57" s="127">
        <v>1</v>
      </c>
      <c r="P57" s="127">
        <v>2</v>
      </c>
      <c r="Q57" s="127">
        <v>1</v>
      </c>
      <c r="R57" s="127">
        <v>3</v>
      </c>
      <c r="S57" s="127">
        <f t="shared" si="4"/>
        <v>2</v>
      </c>
      <c r="T57" s="122">
        <v>660</v>
      </c>
      <c r="U57" s="122">
        <v>924</v>
      </c>
      <c r="V57" s="122">
        <v>84.5</v>
      </c>
      <c r="W57" s="122">
        <v>169</v>
      </c>
      <c r="X57" s="122">
        <v>28.25</v>
      </c>
      <c r="Y57" s="122">
        <v>57</v>
      </c>
      <c r="Z57" s="132">
        <v>380</v>
      </c>
      <c r="AA57" s="132">
        <v>532</v>
      </c>
      <c r="AB57">
        <f t="shared" si="5"/>
        <v>1068.25</v>
      </c>
    </row>
    <row r="58" spans="1:28">
      <c r="A58" s="89">
        <v>56</v>
      </c>
      <c r="B58" s="89">
        <v>733</v>
      </c>
      <c r="C58" s="89" t="s">
        <v>142</v>
      </c>
      <c r="D58" s="89" t="s">
        <v>139</v>
      </c>
      <c r="E58" s="89" t="s">
        <v>127</v>
      </c>
      <c r="F58" s="122">
        <v>6</v>
      </c>
      <c r="G58" s="122">
        <v>9</v>
      </c>
      <c r="H58" s="122">
        <v>7</v>
      </c>
      <c r="I58" s="127">
        <v>7</v>
      </c>
      <c r="J58" s="127">
        <v>21</v>
      </c>
      <c r="K58" s="127">
        <v>22</v>
      </c>
      <c r="L58" s="127">
        <v>1</v>
      </c>
      <c r="M58" s="127">
        <v>1</v>
      </c>
      <c r="N58" s="127">
        <f t="shared" si="3"/>
        <v>29</v>
      </c>
      <c r="O58" s="127">
        <v>1</v>
      </c>
      <c r="P58" s="127">
        <v>2</v>
      </c>
      <c r="Q58" s="127">
        <v>2</v>
      </c>
      <c r="R58" s="127">
        <v>4</v>
      </c>
      <c r="S58" s="127">
        <f t="shared" si="4"/>
        <v>3</v>
      </c>
      <c r="T58" s="122">
        <v>100</v>
      </c>
      <c r="U58" s="122">
        <v>150</v>
      </c>
      <c r="V58" s="122">
        <v>84.5</v>
      </c>
      <c r="W58" s="122">
        <v>169</v>
      </c>
      <c r="X58" s="122">
        <v>68.5</v>
      </c>
      <c r="Y58" s="122">
        <v>103</v>
      </c>
      <c r="Z58" s="132">
        <v>1101</v>
      </c>
      <c r="AA58" s="132">
        <v>1376.25</v>
      </c>
      <c r="AB58">
        <f t="shared" si="5"/>
        <v>1269.5</v>
      </c>
    </row>
    <row r="59" spans="1:28">
      <c r="A59" s="89">
        <v>57</v>
      </c>
      <c r="B59" s="89">
        <v>704</v>
      </c>
      <c r="C59" s="89" t="s">
        <v>194</v>
      </c>
      <c r="D59" s="89" t="s">
        <v>107</v>
      </c>
      <c r="E59" s="89" t="s">
        <v>188</v>
      </c>
      <c r="F59" s="122">
        <v>17</v>
      </c>
      <c r="G59" s="122">
        <v>22</v>
      </c>
      <c r="H59" s="122">
        <v>20</v>
      </c>
      <c r="I59" s="127">
        <v>23</v>
      </c>
      <c r="J59" s="127">
        <v>31</v>
      </c>
      <c r="K59" s="127">
        <v>35</v>
      </c>
      <c r="L59" s="127">
        <v>2</v>
      </c>
      <c r="M59" s="127">
        <v>3</v>
      </c>
      <c r="N59" s="127">
        <f t="shared" si="3"/>
        <v>53</v>
      </c>
      <c r="O59" s="127">
        <v>3</v>
      </c>
      <c r="P59" s="127">
        <v>4</v>
      </c>
      <c r="Q59" s="127">
        <v>1</v>
      </c>
      <c r="R59" s="127">
        <v>3</v>
      </c>
      <c r="S59" s="127">
        <f t="shared" si="4"/>
        <v>4</v>
      </c>
      <c r="T59" s="122">
        <v>1386</v>
      </c>
      <c r="U59" s="122">
        <v>1801.8</v>
      </c>
      <c r="V59" s="122">
        <v>360.01</v>
      </c>
      <c r="W59" s="122">
        <v>540</v>
      </c>
      <c r="X59" s="122">
        <v>1142.41</v>
      </c>
      <c r="Y59" s="122">
        <v>1257</v>
      </c>
      <c r="Z59" s="132">
        <v>1140</v>
      </c>
      <c r="AA59" s="132">
        <v>1425</v>
      </c>
      <c r="AB59">
        <f t="shared" si="5"/>
        <v>3668.41</v>
      </c>
    </row>
    <row r="60" spans="1:28">
      <c r="A60" s="89">
        <v>58</v>
      </c>
      <c r="B60" s="89">
        <v>371</v>
      </c>
      <c r="C60" s="89" t="s">
        <v>177</v>
      </c>
      <c r="D60" s="89" t="s">
        <v>139</v>
      </c>
      <c r="E60" s="89" t="s">
        <v>169</v>
      </c>
      <c r="F60" s="122">
        <v>6</v>
      </c>
      <c r="G60" s="122">
        <v>9</v>
      </c>
      <c r="H60" s="122">
        <v>11</v>
      </c>
      <c r="I60" s="127">
        <v>12</v>
      </c>
      <c r="J60" s="127">
        <v>24</v>
      </c>
      <c r="K60" s="127">
        <v>26</v>
      </c>
      <c r="L60" s="127">
        <v>1</v>
      </c>
      <c r="M60" s="127">
        <v>1</v>
      </c>
      <c r="N60" s="127">
        <f t="shared" si="3"/>
        <v>36</v>
      </c>
      <c r="O60" s="127">
        <v>1</v>
      </c>
      <c r="P60" s="127">
        <v>2</v>
      </c>
      <c r="Q60" s="127">
        <v>4</v>
      </c>
      <c r="R60" s="127">
        <v>6</v>
      </c>
      <c r="S60" s="127">
        <f t="shared" si="4"/>
        <v>5</v>
      </c>
      <c r="T60" s="122">
        <v>100</v>
      </c>
      <c r="U60" s="122">
        <v>150</v>
      </c>
      <c r="V60" s="122">
        <v>84.5</v>
      </c>
      <c r="W60" s="122">
        <v>169</v>
      </c>
      <c r="X60" s="122">
        <v>488.5</v>
      </c>
      <c r="Y60" s="122">
        <v>684</v>
      </c>
      <c r="Z60" s="132">
        <v>1235</v>
      </c>
      <c r="AA60" s="132">
        <v>1543.75</v>
      </c>
      <c r="AB60">
        <f t="shared" si="5"/>
        <v>1823.5</v>
      </c>
    </row>
    <row r="61" spans="1:28">
      <c r="A61" s="89">
        <v>59</v>
      </c>
      <c r="B61" s="89">
        <v>740</v>
      </c>
      <c r="C61" s="89" t="s">
        <v>143</v>
      </c>
      <c r="D61" s="89" t="s">
        <v>113</v>
      </c>
      <c r="E61" s="89" t="s">
        <v>127</v>
      </c>
      <c r="F61" s="122">
        <v>6</v>
      </c>
      <c r="G61" s="122">
        <v>9</v>
      </c>
      <c r="H61" s="122">
        <v>31</v>
      </c>
      <c r="I61" s="127">
        <v>35</v>
      </c>
      <c r="J61" s="127">
        <v>31</v>
      </c>
      <c r="K61" s="127">
        <v>35</v>
      </c>
      <c r="L61" s="127">
        <v>4</v>
      </c>
      <c r="M61" s="127">
        <v>5</v>
      </c>
      <c r="N61" s="127">
        <f t="shared" si="3"/>
        <v>66</v>
      </c>
      <c r="O61" s="127">
        <v>1</v>
      </c>
      <c r="P61" s="127">
        <v>2</v>
      </c>
      <c r="Q61" s="127">
        <v>2</v>
      </c>
      <c r="R61" s="127">
        <v>4</v>
      </c>
      <c r="S61" s="127">
        <f t="shared" si="4"/>
        <v>3</v>
      </c>
      <c r="T61" s="122">
        <v>198</v>
      </c>
      <c r="U61" s="122">
        <v>297</v>
      </c>
      <c r="V61" s="122">
        <v>1338.04</v>
      </c>
      <c r="W61" s="122">
        <v>1538.7</v>
      </c>
      <c r="X61" s="122">
        <v>756.5</v>
      </c>
      <c r="Y61" s="123">
        <v>946</v>
      </c>
      <c r="Z61" s="132">
        <v>4103</v>
      </c>
      <c r="AA61" s="132">
        <v>5128.75</v>
      </c>
      <c r="AB61">
        <f t="shared" si="5"/>
        <v>5057.5</v>
      </c>
    </row>
    <row r="62" spans="1:28">
      <c r="A62" s="89">
        <v>60</v>
      </c>
      <c r="B62" s="89">
        <v>539</v>
      </c>
      <c r="C62" s="89" t="s">
        <v>178</v>
      </c>
      <c r="D62" s="89" t="s">
        <v>139</v>
      </c>
      <c r="E62" s="89" t="s">
        <v>169</v>
      </c>
      <c r="F62" s="122">
        <v>6</v>
      </c>
      <c r="G62" s="122">
        <v>9</v>
      </c>
      <c r="H62" s="122">
        <v>10</v>
      </c>
      <c r="I62" s="127">
        <v>10</v>
      </c>
      <c r="J62" s="127">
        <v>18</v>
      </c>
      <c r="K62" s="127">
        <v>18</v>
      </c>
      <c r="L62" s="127">
        <v>1</v>
      </c>
      <c r="M62" s="127">
        <v>1</v>
      </c>
      <c r="N62" s="127">
        <f t="shared" si="3"/>
        <v>29</v>
      </c>
      <c r="O62" s="127">
        <v>1</v>
      </c>
      <c r="P62" s="127">
        <v>2</v>
      </c>
      <c r="Q62" s="127">
        <v>4</v>
      </c>
      <c r="R62" s="127">
        <v>6</v>
      </c>
      <c r="S62" s="127">
        <f t="shared" si="4"/>
        <v>5</v>
      </c>
      <c r="T62" s="122">
        <v>264</v>
      </c>
      <c r="U62" s="122">
        <v>396</v>
      </c>
      <c r="V62" s="122">
        <v>84.5</v>
      </c>
      <c r="W62" s="122">
        <v>169</v>
      </c>
      <c r="X62" s="122">
        <v>554</v>
      </c>
      <c r="Y62" s="123">
        <v>693</v>
      </c>
      <c r="Z62" s="132">
        <v>849.72</v>
      </c>
      <c r="AA62" s="132">
        <v>1189.61</v>
      </c>
      <c r="AB62">
        <f t="shared" si="5"/>
        <v>1667.72</v>
      </c>
    </row>
    <row r="63" spans="1:28">
      <c r="A63" s="89">
        <v>61</v>
      </c>
      <c r="B63" s="89">
        <v>339</v>
      </c>
      <c r="C63" s="89" t="s">
        <v>111</v>
      </c>
      <c r="D63" s="89" t="s">
        <v>109</v>
      </c>
      <c r="E63" s="89" t="s">
        <v>93</v>
      </c>
      <c r="F63" s="122">
        <v>17</v>
      </c>
      <c r="G63" s="122">
        <v>22</v>
      </c>
      <c r="H63" s="122">
        <v>12</v>
      </c>
      <c r="I63" s="127">
        <v>13</v>
      </c>
      <c r="J63" s="127">
        <v>29</v>
      </c>
      <c r="K63" s="127">
        <v>32</v>
      </c>
      <c r="L63" s="127">
        <v>3</v>
      </c>
      <c r="M63" s="127">
        <v>4</v>
      </c>
      <c r="N63" s="127">
        <f t="shared" si="3"/>
        <v>44</v>
      </c>
      <c r="O63" s="127">
        <v>1</v>
      </c>
      <c r="P63" s="127">
        <v>2</v>
      </c>
      <c r="Q63" s="127">
        <v>7</v>
      </c>
      <c r="R63" s="127">
        <v>11</v>
      </c>
      <c r="S63" s="127">
        <f t="shared" si="4"/>
        <v>8</v>
      </c>
      <c r="T63" s="123">
        <v>150</v>
      </c>
      <c r="U63" s="122">
        <v>225</v>
      </c>
      <c r="V63" s="122">
        <v>446.01</v>
      </c>
      <c r="W63" s="122">
        <v>669</v>
      </c>
      <c r="X63" s="122">
        <v>1311.99</v>
      </c>
      <c r="Y63" s="122">
        <v>1443</v>
      </c>
      <c r="Z63" s="132">
        <v>2574</v>
      </c>
      <c r="AA63" s="132">
        <v>3217.5</v>
      </c>
      <c r="AB63">
        <f t="shared" si="5"/>
        <v>4035.99</v>
      </c>
    </row>
    <row r="64" spans="1:28">
      <c r="A64" s="89">
        <v>62</v>
      </c>
      <c r="B64" s="89">
        <v>572</v>
      </c>
      <c r="C64" s="89" t="s">
        <v>161</v>
      </c>
      <c r="D64" s="89" t="s">
        <v>104</v>
      </c>
      <c r="E64" s="89" t="s">
        <v>149</v>
      </c>
      <c r="F64" s="122">
        <v>17</v>
      </c>
      <c r="G64" s="122">
        <v>23</v>
      </c>
      <c r="H64" s="122">
        <v>24</v>
      </c>
      <c r="I64" s="127">
        <v>28</v>
      </c>
      <c r="J64" s="127">
        <v>48</v>
      </c>
      <c r="K64" s="127">
        <v>55</v>
      </c>
      <c r="L64" s="127">
        <v>2</v>
      </c>
      <c r="M64" s="127">
        <v>3</v>
      </c>
      <c r="N64" s="127">
        <f t="shared" si="3"/>
        <v>74</v>
      </c>
      <c r="O64" s="127">
        <v>1</v>
      </c>
      <c r="P64" s="127">
        <v>2</v>
      </c>
      <c r="Q64" s="127">
        <v>11</v>
      </c>
      <c r="R64" s="127">
        <v>17</v>
      </c>
      <c r="S64" s="127">
        <f t="shared" si="4"/>
        <v>12</v>
      </c>
      <c r="T64" s="122">
        <v>2100.96</v>
      </c>
      <c r="U64" s="122">
        <v>2521.15</v>
      </c>
      <c r="V64" s="122">
        <v>540.03</v>
      </c>
      <c r="W64" s="122">
        <v>648</v>
      </c>
      <c r="X64" s="122">
        <v>541.72</v>
      </c>
      <c r="Y64" s="123">
        <v>677</v>
      </c>
      <c r="Z64" s="132">
        <v>1277.47</v>
      </c>
      <c r="AA64" s="132">
        <v>1596.84</v>
      </c>
      <c r="AB64">
        <f t="shared" si="5"/>
        <v>3920.15</v>
      </c>
    </row>
    <row r="65" spans="1:28">
      <c r="A65" s="89">
        <v>63</v>
      </c>
      <c r="B65" s="89">
        <v>720</v>
      </c>
      <c r="C65" s="89" t="s">
        <v>179</v>
      </c>
      <c r="D65" s="89" t="s">
        <v>113</v>
      </c>
      <c r="E65" s="89" t="s">
        <v>169</v>
      </c>
      <c r="F65" s="122">
        <v>6</v>
      </c>
      <c r="G65" s="122">
        <v>9</v>
      </c>
      <c r="H65" s="122">
        <v>20</v>
      </c>
      <c r="I65" s="127">
        <v>23</v>
      </c>
      <c r="J65" s="127">
        <v>8</v>
      </c>
      <c r="K65" s="127">
        <v>5</v>
      </c>
      <c r="L65" s="127">
        <v>1</v>
      </c>
      <c r="M65" s="127">
        <v>1</v>
      </c>
      <c r="N65" s="127">
        <f t="shared" si="3"/>
        <v>29</v>
      </c>
      <c r="O65" s="127">
        <v>1</v>
      </c>
      <c r="P65" s="127">
        <v>2</v>
      </c>
      <c r="Q65" s="127">
        <v>1</v>
      </c>
      <c r="R65" s="127">
        <v>3</v>
      </c>
      <c r="S65" s="127">
        <f t="shared" si="4"/>
        <v>2</v>
      </c>
      <c r="T65" s="122">
        <v>284</v>
      </c>
      <c r="U65" s="122">
        <v>426</v>
      </c>
      <c r="V65" s="122">
        <v>84.5</v>
      </c>
      <c r="W65" s="122">
        <v>169</v>
      </c>
      <c r="X65" s="122">
        <v>511.78</v>
      </c>
      <c r="Y65" s="123">
        <v>640</v>
      </c>
      <c r="Z65" s="132">
        <v>1833</v>
      </c>
      <c r="AA65" s="132">
        <v>2291.25</v>
      </c>
      <c r="AB65">
        <f t="shared" si="5"/>
        <v>2628.78</v>
      </c>
    </row>
    <row r="66" spans="1:28">
      <c r="A66" s="89">
        <v>64</v>
      </c>
      <c r="B66" s="89">
        <v>594</v>
      </c>
      <c r="C66" s="89" t="s">
        <v>180</v>
      </c>
      <c r="D66" s="89" t="s">
        <v>113</v>
      </c>
      <c r="E66" s="89" t="s">
        <v>169</v>
      </c>
      <c r="F66" s="122">
        <v>6</v>
      </c>
      <c r="G66" s="122">
        <v>9</v>
      </c>
      <c r="H66" s="122">
        <v>18</v>
      </c>
      <c r="I66" s="127">
        <v>20</v>
      </c>
      <c r="J66" s="127">
        <v>18</v>
      </c>
      <c r="K66" s="127">
        <v>18</v>
      </c>
      <c r="L66" s="127">
        <v>1</v>
      </c>
      <c r="M66" s="127">
        <v>1</v>
      </c>
      <c r="N66" s="127">
        <f t="shared" si="3"/>
        <v>37</v>
      </c>
      <c r="O66" s="127">
        <v>1</v>
      </c>
      <c r="P66" s="127">
        <v>2</v>
      </c>
      <c r="Q66" s="127">
        <v>3</v>
      </c>
      <c r="R66" s="127">
        <v>5</v>
      </c>
      <c r="S66" s="127">
        <f t="shared" si="4"/>
        <v>4</v>
      </c>
      <c r="T66" s="122">
        <v>264</v>
      </c>
      <c r="U66" s="122">
        <v>396</v>
      </c>
      <c r="V66" s="122">
        <v>258.01</v>
      </c>
      <c r="W66" s="122">
        <v>387</v>
      </c>
      <c r="X66" s="122">
        <v>260.5</v>
      </c>
      <c r="Y66" s="122">
        <v>365</v>
      </c>
      <c r="Z66" s="132">
        <v>3040</v>
      </c>
      <c r="AA66" s="132">
        <v>3800</v>
      </c>
      <c r="AB66">
        <f t="shared" si="5"/>
        <v>3564.5</v>
      </c>
    </row>
    <row r="67" spans="1:28">
      <c r="A67" s="89">
        <v>65</v>
      </c>
      <c r="B67" s="89">
        <v>56</v>
      </c>
      <c r="C67" s="89" t="s">
        <v>195</v>
      </c>
      <c r="D67" s="89" t="s">
        <v>139</v>
      </c>
      <c r="E67" s="89" t="s">
        <v>188</v>
      </c>
      <c r="F67" s="122">
        <v>6</v>
      </c>
      <c r="G67" s="122">
        <v>9</v>
      </c>
      <c r="H67" s="122">
        <v>36</v>
      </c>
      <c r="I67" s="127">
        <v>41</v>
      </c>
      <c r="J67" s="127">
        <v>29</v>
      </c>
      <c r="K67" s="127">
        <v>32</v>
      </c>
      <c r="L67" s="127">
        <v>1</v>
      </c>
      <c r="M67" s="127">
        <v>1</v>
      </c>
      <c r="N67" s="127">
        <f t="shared" si="3"/>
        <v>66</v>
      </c>
      <c r="O67" s="127">
        <v>1</v>
      </c>
      <c r="P67" s="127">
        <v>2</v>
      </c>
      <c r="Q67" s="127">
        <v>10</v>
      </c>
      <c r="R67" s="127">
        <v>15</v>
      </c>
      <c r="S67" s="127">
        <f t="shared" si="4"/>
        <v>11</v>
      </c>
      <c r="T67" s="122">
        <v>66</v>
      </c>
      <c r="U67" s="122">
        <v>99</v>
      </c>
      <c r="V67" s="122">
        <v>148.75</v>
      </c>
      <c r="W67" s="122">
        <v>223.1</v>
      </c>
      <c r="X67" s="122">
        <v>204</v>
      </c>
      <c r="Y67" s="122">
        <v>286</v>
      </c>
      <c r="Z67" s="132">
        <v>5719.01</v>
      </c>
      <c r="AA67" s="132">
        <v>6290.91</v>
      </c>
      <c r="AB67">
        <f t="shared" si="5"/>
        <v>5989.01</v>
      </c>
    </row>
    <row r="68" spans="1:28">
      <c r="A68" s="89">
        <v>66</v>
      </c>
      <c r="B68" s="89">
        <v>351</v>
      </c>
      <c r="C68" s="89" t="s">
        <v>196</v>
      </c>
      <c r="D68" s="89" t="s">
        <v>104</v>
      </c>
      <c r="E68" s="89" t="s">
        <v>188</v>
      </c>
      <c r="F68" s="122">
        <v>17</v>
      </c>
      <c r="G68" s="122">
        <v>23</v>
      </c>
      <c r="H68" s="122">
        <v>21</v>
      </c>
      <c r="I68" s="127">
        <v>24</v>
      </c>
      <c r="J68" s="127">
        <v>23</v>
      </c>
      <c r="K68" s="127">
        <v>24</v>
      </c>
      <c r="L68" s="127">
        <v>7</v>
      </c>
      <c r="M68" s="127">
        <v>9</v>
      </c>
      <c r="N68" s="127">
        <f t="shared" ref="N68:N97" si="6">H68+J68+L68</f>
        <v>51</v>
      </c>
      <c r="O68" s="127">
        <v>1</v>
      </c>
      <c r="P68" s="127">
        <v>2</v>
      </c>
      <c r="Q68" s="127">
        <v>4</v>
      </c>
      <c r="R68" s="127">
        <v>6</v>
      </c>
      <c r="S68" s="127">
        <f t="shared" ref="S68:S97" si="7">O68+Q68</f>
        <v>5</v>
      </c>
      <c r="T68" s="123">
        <v>150</v>
      </c>
      <c r="U68" s="122">
        <v>225</v>
      </c>
      <c r="V68" s="122">
        <v>1800.05</v>
      </c>
      <c r="W68" s="122">
        <v>1980.1</v>
      </c>
      <c r="X68" s="122">
        <v>274</v>
      </c>
      <c r="Y68" s="122">
        <v>384</v>
      </c>
      <c r="Z68" s="132">
        <v>374</v>
      </c>
      <c r="AA68" s="132">
        <v>523.6</v>
      </c>
      <c r="AB68">
        <f t="shared" ref="AB68:AB97" si="8">Z68+X68+T68</f>
        <v>798</v>
      </c>
    </row>
    <row r="69" spans="1:28">
      <c r="A69" s="89">
        <v>67</v>
      </c>
      <c r="B69" s="89">
        <v>549</v>
      </c>
      <c r="C69" s="89" t="s">
        <v>181</v>
      </c>
      <c r="D69" s="89" t="s">
        <v>139</v>
      </c>
      <c r="E69" s="89" t="s">
        <v>169</v>
      </c>
      <c r="F69" s="122">
        <v>6</v>
      </c>
      <c r="G69" s="122">
        <v>9</v>
      </c>
      <c r="H69" s="122">
        <v>23</v>
      </c>
      <c r="I69" s="127">
        <v>27</v>
      </c>
      <c r="J69" s="127">
        <v>19</v>
      </c>
      <c r="K69" s="127">
        <v>19</v>
      </c>
      <c r="L69" s="127">
        <v>1</v>
      </c>
      <c r="M69" s="127">
        <v>1</v>
      </c>
      <c r="N69" s="127">
        <f t="shared" si="6"/>
        <v>43</v>
      </c>
      <c r="O69" s="127">
        <v>1</v>
      </c>
      <c r="P69" s="127">
        <v>2</v>
      </c>
      <c r="Q69" s="127">
        <v>5</v>
      </c>
      <c r="R69" s="127">
        <v>8</v>
      </c>
      <c r="S69" s="127">
        <f t="shared" si="7"/>
        <v>6</v>
      </c>
      <c r="T69" s="122">
        <v>100</v>
      </c>
      <c r="U69" s="122">
        <v>150</v>
      </c>
      <c r="V69" s="122">
        <v>84.5</v>
      </c>
      <c r="W69" s="122">
        <v>169</v>
      </c>
      <c r="X69" s="122">
        <v>431</v>
      </c>
      <c r="Y69" s="122">
        <v>603</v>
      </c>
      <c r="Z69" s="132">
        <v>2660</v>
      </c>
      <c r="AA69" s="132">
        <v>3325</v>
      </c>
      <c r="AB69">
        <f t="shared" si="8"/>
        <v>3191</v>
      </c>
    </row>
    <row r="70" spans="1:28">
      <c r="A70" s="89">
        <v>68</v>
      </c>
      <c r="B70" s="89">
        <v>545</v>
      </c>
      <c r="C70" s="89" t="s">
        <v>144</v>
      </c>
      <c r="D70" s="89" t="s">
        <v>113</v>
      </c>
      <c r="E70" s="89" t="s">
        <v>127</v>
      </c>
      <c r="F70" s="122">
        <v>6</v>
      </c>
      <c r="G70" s="122">
        <v>9</v>
      </c>
      <c r="H70" s="122">
        <v>41</v>
      </c>
      <c r="I70" s="127">
        <v>47</v>
      </c>
      <c r="J70" s="127">
        <v>25</v>
      </c>
      <c r="K70" s="127">
        <v>27</v>
      </c>
      <c r="L70" s="127">
        <v>1</v>
      </c>
      <c r="M70" s="127">
        <v>1</v>
      </c>
      <c r="N70" s="127">
        <f t="shared" si="6"/>
        <v>67</v>
      </c>
      <c r="O70" s="127">
        <v>2</v>
      </c>
      <c r="P70" s="127">
        <v>3</v>
      </c>
      <c r="Q70" s="127">
        <v>3</v>
      </c>
      <c r="R70" s="127">
        <v>5</v>
      </c>
      <c r="S70" s="127">
        <f t="shared" si="7"/>
        <v>5</v>
      </c>
      <c r="T70" s="122">
        <v>100</v>
      </c>
      <c r="U70" s="122">
        <v>150</v>
      </c>
      <c r="V70" s="122">
        <v>84.5</v>
      </c>
      <c r="W70" s="122">
        <v>169</v>
      </c>
      <c r="X70" s="122">
        <v>140</v>
      </c>
      <c r="Y70" s="122">
        <v>196</v>
      </c>
      <c r="Z70" s="132">
        <v>3828.89</v>
      </c>
      <c r="AA70" s="132">
        <v>4786.11</v>
      </c>
      <c r="AB70">
        <f t="shared" si="8"/>
        <v>4068.89</v>
      </c>
    </row>
    <row r="71" spans="1:28">
      <c r="A71" s="89">
        <v>69</v>
      </c>
      <c r="B71" s="89">
        <v>706</v>
      </c>
      <c r="C71" s="89" t="s">
        <v>197</v>
      </c>
      <c r="D71" s="89" t="s">
        <v>113</v>
      </c>
      <c r="E71" s="89" t="s">
        <v>188</v>
      </c>
      <c r="F71" s="122">
        <v>6</v>
      </c>
      <c r="G71" s="122">
        <v>9</v>
      </c>
      <c r="H71" s="122">
        <v>9</v>
      </c>
      <c r="I71" s="127">
        <v>9</v>
      </c>
      <c r="J71" s="127">
        <v>29</v>
      </c>
      <c r="K71" s="127">
        <v>32</v>
      </c>
      <c r="L71" s="127">
        <v>1</v>
      </c>
      <c r="M71" s="127">
        <v>1</v>
      </c>
      <c r="N71" s="127">
        <f t="shared" si="6"/>
        <v>39</v>
      </c>
      <c r="O71" s="127">
        <v>2</v>
      </c>
      <c r="P71" s="127">
        <v>3</v>
      </c>
      <c r="Q71" s="127">
        <v>9</v>
      </c>
      <c r="R71" s="127">
        <v>14</v>
      </c>
      <c r="S71" s="127">
        <f t="shared" si="7"/>
        <v>11</v>
      </c>
      <c r="T71" s="122">
        <v>198</v>
      </c>
      <c r="U71" s="122">
        <v>297</v>
      </c>
      <c r="V71" s="122">
        <v>84.5</v>
      </c>
      <c r="W71" s="122">
        <v>169</v>
      </c>
      <c r="X71" s="122">
        <v>896.5</v>
      </c>
      <c r="Y71" s="123">
        <v>1121</v>
      </c>
      <c r="Z71" s="132">
        <v>950</v>
      </c>
      <c r="AA71" s="132">
        <v>1330</v>
      </c>
      <c r="AB71">
        <f t="shared" si="8"/>
        <v>2044.5</v>
      </c>
    </row>
    <row r="72" spans="1:28">
      <c r="A72" s="89">
        <v>70</v>
      </c>
      <c r="B72" s="89">
        <v>716</v>
      </c>
      <c r="C72" s="89" t="s">
        <v>182</v>
      </c>
      <c r="D72" s="89" t="s">
        <v>139</v>
      </c>
      <c r="E72" s="89" t="s">
        <v>169</v>
      </c>
      <c r="F72" s="122">
        <v>6</v>
      </c>
      <c r="G72" s="122">
        <v>9</v>
      </c>
      <c r="H72" s="122">
        <v>11</v>
      </c>
      <c r="I72" s="127">
        <v>12</v>
      </c>
      <c r="J72" s="127">
        <v>23</v>
      </c>
      <c r="K72" s="127">
        <v>24</v>
      </c>
      <c r="L72" s="127">
        <v>1</v>
      </c>
      <c r="M72" s="127">
        <v>1</v>
      </c>
      <c r="N72" s="127">
        <f t="shared" si="6"/>
        <v>35</v>
      </c>
      <c r="O72" s="127">
        <v>2</v>
      </c>
      <c r="P72" s="127">
        <v>3</v>
      </c>
      <c r="Q72" s="127">
        <v>3</v>
      </c>
      <c r="R72" s="127">
        <v>5</v>
      </c>
      <c r="S72" s="127">
        <f t="shared" si="7"/>
        <v>5</v>
      </c>
      <c r="T72" s="122">
        <v>528.01</v>
      </c>
      <c r="U72" s="122">
        <v>739.21</v>
      </c>
      <c r="V72" s="122">
        <v>84.5</v>
      </c>
      <c r="W72" s="122">
        <v>169</v>
      </c>
      <c r="X72" s="122">
        <v>239</v>
      </c>
      <c r="Y72" s="122">
        <v>335</v>
      </c>
      <c r="Z72" s="132">
        <v>1850</v>
      </c>
      <c r="AA72" s="132">
        <v>2312.5</v>
      </c>
      <c r="AB72">
        <f t="shared" si="8"/>
        <v>2617.01</v>
      </c>
    </row>
    <row r="73" spans="1:28">
      <c r="A73" s="90">
        <v>71</v>
      </c>
      <c r="B73" s="90">
        <v>752</v>
      </c>
      <c r="C73" s="90" t="s">
        <v>112</v>
      </c>
      <c r="D73" s="90" t="s">
        <v>113</v>
      </c>
      <c r="E73" s="90" t="s">
        <v>93</v>
      </c>
      <c r="F73" s="123">
        <v>6</v>
      </c>
      <c r="G73" s="122">
        <v>9</v>
      </c>
      <c r="H73" s="122">
        <v>9</v>
      </c>
      <c r="I73" s="127">
        <v>9</v>
      </c>
      <c r="J73" s="127">
        <v>16</v>
      </c>
      <c r="K73" s="127">
        <v>15</v>
      </c>
      <c r="L73" s="127">
        <v>1</v>
      </c>
      <c r="M73" s="127">
        <v>1</v>
      </c>
      <c r="N73" s="127">
        <f t="shared" si="6"/>
        <v>26</v>
      </c>
      <c r="O73" s="127">
        <v>1</v>
      </c>
      <c r="P73" s="127">
        <v>2</v>
      </c>
      <c r="Q73" s="127">
        <v>4</v>
      </c>
      <c r="R73" s="127">
        <v>6</v>
      </c>
      <c r="S73" s="127">
        <f t="shared" si="7"/>
        <v>5</v>
      </c>
      <c r="T73" s="122">
        <v>53.35</v>
      </c>
      <c r="U73" s="122">
        <v>80.03</v>
      </c>
      <c r="V73" s="122">
        <v>84.5</v>
      </c>
      <c r="W73" s="122">
        <v>169</v>
      </c>
      <c r="X73" s="122">
        <v>167.5</v>
      </c>
      <c r="Y73" s="122">
        <v>235</v>
      </c>
      <c r="Z73" s="132">
        <v>954</v>
      </c>
      <c r="AA73" s="132">
        <v>1335.6</v>
      </c>
      <c r="AB73">
        <f t="shared" si="8"/>
        <v>1174.85</v>
      </c>
    </row>
    <row r="74" spans="1:28">
      <c r="A74" s="89">
        <v>72</v>
      </c>
      <c r="B74" s="89">
        <v>741</v>
      </c>
      <c r="C74" s="89" t="s">
        <v>114</v>
      </c>
      <c r="D74" s="89" t="s">
        <v>113</v>
      </c>
      <c r="E74" s="89" t="s">
        <v>93</v>
      </c>
      <c r="F74" s="122">
        <v>6</v>
      </c>
      <c r="G74" s="122">
        <v>9</v>
      </c>
      <c r="H74" s="122">
        <v>21</v>
      </c>
      <c r="I74" s="127">
        <v>23</v>
      </c>
      <c r="J74" s="127">
        <v>27</v>
      </c>
      <c r="K74" s="127">
        <v>29</v>
      </c>
      <c r="L74" s="127">
        <v>1</v>
      </c>
      <c r="M74" s="127">
        <v>1</v>
      </c>
      <c r="N74" s="127">
        <f t="shared" si="6"/>
        <v>49</v>
      </c>
      <c r="O74" s="127">
        <v>2</v>
      </c>
      <c r="P74" s="127">
        <v>3</v>
      </c>
      <c r="Q74" s="127">
        <v>2</v>
      </c>
      <c r="R74" s="127">
        <v>4</v>
      </c>
      <c r="S74" s="127">
        <f t="shared" si="7"/>
        <v>4</v>
      </c>
      <c r="T74" s="122">
        <v>100</v>
      </c>
      <c r="U74" s="122">
        <v>150</v>
      </c>
      <c r="V74" s="122">
        <v>84.5</v>
      </c>
      <c r="W74" s="122">
        <v>169</v>
      </c>
      <c r="X74" s="122">
        <v>385</v>
      </c>
      <c r="Y74" s="122">
        <v>539</v>
      </c>
      <c r="Z74" s="132">
        <v>285</v>
      </c>
      <c r="AA74" s="132">
        <v>399</v>
      </c>
      <c r="AB74">
        <f t="shared" si="8"/>
        <v>770</v>
      </c>
    </row>
    <row r="75" spans="1:28">
      <c r="A75" s="89">
        <v>73</v>
      </c>
      <c r="B75" s="89">
        <v>710</v>
      </c>
      <c r="C75" s="89" t="s">
        <v>198</v>
      </c>
      <c r="D75" s="89" t="s">
        <v>113</v>
      </c>
      <c r="E75" s="89" t="s">
        <v>188</v>
      </c>
      <c r="F75" s="122">
        <v>6</v>
      </c>
      <c r="G75" s="122">
        <v>9</v>
      </c>
      <c r="H75" s="122">
        <v>14</v>
      </c>
      <c r="I75" s="127">
        <v>15</v>
      </c>
      <c r="J75" s="127">
        <v>44</v>
      </c>
      <c r="K75" s="127">
        <v>50</v>
      </c>
      <c r="L75" s="127">
        <v>1</v>
      </c>
      <c r="M75" s="127">
        <v>1</v>
      </c>
      <c r="N75" s="127">
        <f t="shared" si="6"/>
        <v>59</v>
      </c>
      <c r="O75" s="127">
        <v>1</v>
      </c>
      <c r="P75" s="127">
        <v>2</v>
      </c>
      <c r="Q75" s="127">
        <v>1</v>
      </c>
      <c r="R75" s="127">
        <v>3</v>
      </c>
      <c r="S75" s="127">
        <f t="shared" si="7"/>
        <v>2</v>
      </c>
      <c r="T75" s="122">
        <v>66</v>
      </c>
      <c r="U75" s="122">
        <v>99</v>
      </c>
      <c r="V75" s="122">
        <v>84.5</v>
      </c>
      <c r="W75" s="122">
        <v>169</v>
      </c>
      <c r="X75" s="122">
        <v>551</v>
      </c>
      <c r="Y75" s="123">
        <v>689</v>
      </c>
      <c r="Z75" s="132">
        <v>1460.34</v>
      </c>
      <c r="AA75" s="132">
        <v>1825.43</v>
      </c>
      <c r="AB75">
        <f t="shared" si="8"/>
        <v>2077.34</v>
      </c>
    </row>
    <row r="76" spans="1:28">
      <c r="A76" s="89">
        <v>74</v>
      </c>
      <c r="B76" s="89">
        <v>732</v>
      </c>
      <c r="C76" s="89" t="s">
        <v>183</v>
      </c>
      <c r="D76" s="89" t="s">
        <v>139</v>
      </c>
      <c r="E76" s="89" t="s">
        <v>169</v>
      </c>
      <c r="F76" s="122">
        <v>6</v>
      </c>
      <c r="G76" s="122">
        <v>9</v>
      </c>
      <c r="H76" s="122">
        <v>16</v>
      </c>
      <c r="I76" s="127">
        <v>18</v>
      </c>
      <c r="J76" s="127">
        <v>44</v>
      </c>
      <c r="K76" s="127">
        <v>50</v>
      </c>
      <c r="L76" s="127">
        <v>1</v>
      </c>
      <c r="M76" s="127">
        <v>1</v>
      </c>
      <c r="N76" s="127">
        <f t="shared" si="6"/>
        <v>61</v>
      </c>
      <c r="O76" s="127">
        <v>1</v>
      </c>
      <c r="P76" s="127">
        <v>2</v>
      </c>
      <c r="Q76" s="127">
        <v>1</v>
      </c>
      <c r="R76" s="127">
        <v>3</v>
      </c>
      <c r="S76" s="127">
        <f t="shared" si="7"/>
        <v>2</v>
      </c>
      <c r="T76" s="122">
        <v>558</v>
      </c>
      <c r="U76" s="122">
        <v>781.2</v>
      </c>
      <c r="V76" s="122">
        <v>952.02</v>
      </c>
      <c r="W76" s="122">
        <v>1142.4</v>
      </c>
      <c r="X76" s="122">
        <v>415.5</v>
      </c>
      <c r="Y76" s="122">
        <v>582</v>
      </c>
      <c r="Z76" s="132">
        <v>3236</v>
      </c>
      <c r="AA76" s="132">
        <v>4045</v>
      </c>
      <c r="AB76">
        <f t="shared" si="8"/>
        <v>4209.5</v>
      </c>
    </row>
    <row r="77" spans="1:28">
      <c r="A77" s="89">
        <v>75</v>
      </c>
      <c r="B77" s="89">
        <v>357</v>
      </c>
      <c r="C77" s="89" t="s">
        <v>115</v>
      </c>
      <c r="D77" s="89" t="s">
        <v>104</v>
      </c>
      <c r="E77" s="89" t="s">
        <v>93</v>
      </c>
      <c r="F77" s="122">
        <v>17</v>
      </c>
      <c r="G77" s="122">
        <v>23</v>
      </c>
      <c r="H77" s="122">
        <v>25</v>
      </c>
      <c r="I77" s="127">
        <v>29</v>
      </c>
      <c r="J77" s="127">
        <v>55</v>
      </c>
      <c r="K77" s="127">
        <v>63</v>
      </c>
      <c r="L77" s="127">
        <v>1</v>
      </c>
      <c r="M77" s="127">
        <v>1</v>
      </c>
      <c r="N77" s="127">
        <f t="shared" si="6"/>
        <v>81</v>
      </c>
      <c r="O77" s="127">
        <v>1</v>
      </c>
      <c r="P77" s="127">
        <v>2</v>
      </c>
      <c r="Q77" s="127">
        <v>17</v>
      </c>
      <c r="R77" s="127">
        <v>22</v>
      </c>
      <c r="S77" s="127">
        <f t="shared" si="7"/>
        <v>18</v>
      </c>
      <c r="T77" s="122">
        <v>432.3</v>
      </c>
      <c r="U77" s="122">
        <v>648.45</v>
      </c>
      <c r="V77" s="122">
        <v>84.5</v>
      </c>
      <c r="W77" s="122">
        <v>169</v>
      </c>
      <c r="X77" s="122">
        <v>703.7</v>
      </c>
      <c r="Y77" s="123">
        <v>880</v>
      </c>
      <c r="Z77" s="132">
        <v>1235</v>
      </c>
      <c r="AA77" s="132">
        <v>1543.75</v>
      </c>
      <c r="AB77">
        <f t="shared" si="8"/>
        <v>2371</v>
      </c>
    </row>
    <row r="78" spans="1:28">
      <c r="A78" s="89">
        <v>76</v>
      </c>
      <c r="B78" s="89">
        <v>570</v>
      </c>
      <c r="C78" s="89" t="s">
        <v>116</v>
      </c>
      <c r="D78" s="89" t="s">
        <v>107</v>
      </c>
      <c r="E78" s="89" t="s">
        <v>93</v>
      </c>
      <c r="F78" s="122">
        <v>6</v>
      </c>
      <c r="G78" s="122">
        <v>11</v>
      </c>
      <c r="H78" s="122">
        <v>15</v>
      </c>
      <c r="I78" s="127">
        <v>17</v>
      </c>
      <c r="J78" s="127">
        <v>45</v>
      </c>
      <c r="K78" s="127">
        <v>51</v>
      </c>
      <c r="L78" s="127">
        <v>2</v>
      </c>
      <c r="M78" s="127">
        <v>3</v>
      </c>
      <c r="N78" s="127">
        <f t="shared" si="6"/>
        <v>62</v>
      </c>
      <c r="O78" s="127">
        <v>1</v>
      </c>
      <c r="P78" s="127">
        <v>2</v>
      </c>
      <c r="Q78" s="127">
        <v>4</v>
      </c>
      <c r="R78" s="127">
        <v>6</v>
      </c>
      <c r="S78" s="127">
        <f t="shared" si="7"/>
        <v>5</v>
      </c>
      <c r="T78" s="123">
        <v>150</v>
      </c>
      <c r="U78" s="122">
        <v>225</v>
      </c>
      <c r="V78" s="122">
        <v>84.5</v>
      </c>
      <c r="W78" s="122">
        <v>169</v>
      </c>
      <c r="X78" s="122">
        <v>240.5</v>
      </c>
      <c r="Y78" s="122">
        <v>337</v>
      </c>
      <c r="Z78" s="132">
        <v>380</v>
      </c>
      <c r="AA78" s="132">
        <v>532</v>
      </c>
      <c r="AB78">
        <f t="shared" si="8"/>
        <v>770.5</v>
      </c>
    </row>
    <row r="79" spans="1:28">
      <c r="A79" s="89">
        <v>77</v>
      </c>
      <c r="B79" s="89">
        <v>738</v>
      </c>
      <c r="C79" s="89" t="s">
        <v>199</v>
      </c>
      <c r="D79" s="89" t="s">
        <v>139</v>
      </c>
      <c r="E79" s="89" t="s">
        <v>188</v>
      </c>
      <c r="F79" s="122">
        <v>6</v>
      </c>
      <c r="G79" s="122">
        <v>9</v>
      </c>
      <c r="H79" s="122">
        <v>28</v>
      </c>
      <c r="I79" s="127">
        <v>33</v>
      </c>
      <c r="J79" s="127">
        <v>48</v>
      </c>
      <c r="K79" s="127">
        <v>55</v>
      </c>
      <c r="L79" s="127">
        <v>1</v>
      </c>
      <c r="M79" s="127">
        <v>1</v>
      </c>
      <c r="N79" s="127">
        <f t="shared" si="6"/>
        <v>77</v>
      </c>
      <c r="O79" s="127">
        <v>1</v>
      </c>
      <c r="P79" s="127">
        <v>2</v>
      </c>
      <c r="Q79" s="127">
        <v>6</v>
      </c>
      <c r="R79" s="127">
        <v>9</v>
      </c>
      <c r="S79" s="127">
        <f t="shared" si="7"/>
        <v>7</v>
      </c>
      <c r="T79" s="122">
        <v>100</v>
      </c>
      <c r="U79" s="122">
        <v>150</v>
      </c>
      <c r="V79" s="122">
        <v>84.5</v>
      </c>
      <c r="W79" s="122">
        <v>169</v>
      </c>
      <c r="X79" s="122">
        <v>543.5</v>
      </c>
      <c r="Y79" s="123">
        <v>679</v>
      </c>
      <c r="Z79" s="132">
        <v>570</v>
      </c>
      <c r="AA79" s="132">
        <v>798</v>
      </c>
      <c r="AB79">
        <f t="shared" si="8"/>
        <v>1213.5</v>
      </c>
    </row>
    <row r="80" spans="1:28">
      <c r="A80" s="89">
        <v>78</v>
      </c>
      <c r="B80" s="89">
        <v>723</v>
      </c>
      <c r="C80" s="89" t="s">
        <v>162</v>
      </c>
      <c r="D80" s="89" t="s">
        <v>113</v>
      </c>
      <c r="E80" s="89" t="s">
        <v>149</v>
      </c>
      <c r="F80" s="122">
        <v>6</v>
      </c>
      <c r="G80" s="122">
        <v>9</v>
      </c>
      <c r="H80" s="122">
        <v>25</v>
      </c>
      <c r="I80" s="127">
        <v>29</v>
      </c>
      <c r="J80" s="127">
        <v>29</v>
      </c>
      <c r="K80" s="127">
        <v>32</v>
      </c>
      <c r="L80" s="127">
        <v>1</v>
      </c>
      <c r="M80" s="127">
        <v>1</v>
      </c>
      <c r="N80" s="127">
        <f t="shared" si="6"/>
        <v>55</v>
      </c>
      <c r="O80" s="127">
        <v>1</v>
      </c>
      <c r="P80" s="127">
        <v>2</v>
      </c>
      <c r="Q80" s="127">
        <v>2</v>
      </c>
      <c r="R80" s="127">
        <v>4</v>
      </c>
      <c r="S80" s="127">
        <f t="shared" si="7"/>
        <v>3</v>
      </c>
      <c r="T80" s="122">
        <v>132</v>
      </c>
      <c r="U80" s="122">
        <v>198</v>
      </c>
      <c r="V80" s="122">
        <v>84.5</v>
      </c>
      <c r="W80" s="122">
        <v>169</v>
      </c>
      <c r="X80" s="122">
        <v>1109.5</v>
      </c>
      <c r="Y80" s="122">
        <v>1220</v>
      </c>
      <c r="Z80" s="132">
        <v>882</v>
      </c>
      <c r="AA80" s="132">
        <v>1234.8</v>
      </c>
      <c r="AB80">
        <f t="shared" si="8"/>
        <v>2123.5</v>
      </c>
    </row>
    <row r="81" spans="1:28">
      <c r="A81" s="89">
        <v>79</v>
      </c>
      <c r="B81" s="89">
        <v>755</v>
      </c>
      <c r="C81" s="89" t="s">
        <v>200</v>
      </c>
      <c r="D81" s="89" t="s">
        <v>113</v>
      </c>
      <c r="E81" s="89" t="s">
        <v>188</v>
      </c>
      <c r="F81" s="122">
        <v>6</v>
      </c>
      <c r="G81" s="122">
        <v>9</v>
      </c>
      <c r="H81" s="122">
        <v>9</v>
      </c>
      <c r="I81" s="127">
        <v>9</v>
      </c>
      <c r="J81" s="127">
        <v>11</v>
      </c>
      <c r="K81" s="127">
        <v>9</v>
      </c>
      <c r="L81" s="127">
        <v>1</v>
      </c>
      <c r="M81" s="127">
        <v>1</v>
      </c>
      <c r="N81" s="127">
        <f t="shared" si="6"/>
        <v>21</v>
      </c>
      <c r="O81" s="127">
        <v>1</v>
      </c>
      <c r="P81" s="127">
        <v>2</v>
      </c>
      <c r="Q81" s="127">
        <v>1</v>
      </c>
      <c r="R81" s="127">
        <v>3</v>
      </c>
      <c r="S81" s="127">
        <f t="shared" si="7"/>
        <v>2</v>
      </c>
      <c r="T81" s="122">
        <v>132</v>
      </c>
      <c r="U81" s="122">
        <v>198</v>
      </c>
      <c r="V81" s="122">
        <v>84.5</v>
      </c>
      <c r="W81" s="122">
        <v>169</v>
      </c>
      <c r="X81" s="122">
        <v>385</v>
      </c>
      <c r="Y81" s="122">
        <v>539</v>
      </c>
      <c r="Z81" s="132">
        <v>160</v>
      </c>
      <c r="AA81" s="132">
        <v>224</v>
      </c>
      <c r="AB81">
        <f t="shared" si="8"/>
        <v>677</v>
      </c>
    </row>
    <row r="82" s="79" customFormat="1" spans="1:28">
      <c r="A82" s="90">
        <v>80</v>
      </c>
      <c r="B82" s="90">
        <v>753</v>
      </c>
      <c r="C82" s="90" t="s">
        <v>145</v>
      </c>
      <c r="D82" s="90" t="s">
        <v>113</v>
      </c>
      <c r="E82" s="90" t="s">
        <v>127</v>
      </c>
      <c r="F82" s="123">
        <v>6</v>
      </c>
      <c r="G82" s="123">
        <v>9</v>
      </c>
      <c r="H82" s="122">
        <v>9</v>
      </c>
      <c r="I82" s="127">
        <v>9</v>
      </c>
      <c r="J82" s="127">
        <v>11</v>
      </c>
      <c r="K82" s="127">
        <v>9</v>
      </c>
      <c r="L82" s="127">
        <v>1</v>
      </c>
      <c r="M82" s="127">
        <v>1</v>
      </c>
      <c r="N82" s="127">
        <f t="shared" si="6"/>
        <v>21</v>
      </c>
      <c r="O82" s="127">
        <v>1</v>
      </c>
      <c r="P82" s="127">
        <v>2</v>
      </c>
      <c r="Q82" s="127">
        <v>1</v>
      </c>
      <c r="R82" s="127">
        <v>3</v>
      </c>
      <c r="S82" s="127">
        <f t="shared" si="7"/>
        <v>2</v>
      </c>
      <c r="T82" s="122">
        <v>234.3</v>
      </c>
      <c r="U82" s="122">
        <v>351.45</v>
      </c>
      <c r="V82" s="122">
        <v>84.5</v>
      </c>
      <c r="W82" s="122">
        <v>169</v>
      </c>
      <c r="X82" s="122">
        <v>385</v>
      </c>
      <c r="Y82" s="122">
        <v>539</v>
      </c>
      <c r="Z82" s="132">
        <v>380</v>
      </c>
      <c r="AA82" s="132">
        <v>532</v>
      </c>
      <c r="AB82">
        <f t="shared" si="8"/>
        <v>999.3</v>
      </c>
    </row>
    <row r="83" spans="1:28">
      <c r="A83" s="89">
        <v>81</v>
      </c>
      <c r="B83" s="91">
        <v>101453</v>
      </c>
      <c r="C83" s="89" t="s">
        <v>203</v>
      </c>
      <c r="D83" s="89" t="s">
        <v>109</v>
      </c>
      <c r="E83" s="89" t="s">
        <v>204</v>
      </c>
      <c r="F83" s="122">
        <v>6</v>
      </c>
      <c r="G83" s="122">
        <v>11</v>
      </c>
      <c r="H83" s="122">
        <v>15</v>
      </c>
      <c r="I83" s="127">
        <v>17</v>
      </c>
      <c r="J83" s="127">
        <v>29</v>
      </c>
      <c r="K83" s="127">
        <v>32</v>
      </c>
      <c r="L83" s="127">
        <v>2</v>
      </c>
      <c r="M83" s="127">
        <v>3</v>
      </c>
      <c r="N83" s="127">
        <f t="shared" si="6"/>
        <v>46</v>
      </c>
      <c r="O83" s="127">
        <v>1</v>
      </c>
      <c r="P83" s="127">
        <v>2</v>
      </c>
      <c r="Q83" s="127">
        <v>8</v>
      </c>
      <c r="R83" s="127">
        <v>12</v>
      </c>
      <c r="S83" s="127">
        <f t="shared" si="7"/>
        <v>9</v>
      </c>
      <c r="T83" s="122">
        <v>66</v>
      </c>
      <c r="U83" s="122">
        <v>99</v>
      </c>
      <c r="V83" s="122">
        <v>344.01</v>
      </c>
      <c r="W83" s="122">
        <v>516</v>
      </c>
      <c r="X83" s="122">
        <v>689</v>
      </c>
      <c r="Y83" s="123">
        <v>861</v>
      </c>
      <c r="Z83" s="132">
        <v>380</v>
      </c>
      <c r="AA83" s="132">
        <v>532</v>
      </c>
      <c r="AB83">
        <f t="shared" si="8"/>
        <v>1135</v>
      </c>
    </row>
    <row r="84" spans="1:28">
      <c r="A84" s="89">
        <v>82</v>
      </c>
      <c r="B84" s="89">
        <v>718</v>
      </c>
      <c r="C84" s="89" t="s">
        <v>163</v>
      </c>
      <c r="D84" s="89" t="s">
        <v>113</v>
      </c>
      <c r="E84" s="89" t="s">
        <v>149</v>
      </c>
      <c r="F84" s="122">
        <v>6</v>
      </c>
      <c r="G84" s="122">
        <v>9</v>
      </c>
      <c r="H84" s="122">
        <v>12</v>
      </c>
      <c r="I84" s="127">
        <v>13</v>
      </c>
      <c r="J84" s="127">
        <v>23</v>
      </c>
      <c r="K84" s="127">
        <v>24</v>
      </c>
      <c r="L84" s="127">
        <v>1</v>
      </c>
      <c r="M84" s="127">
        <v>1</v>
      </c>
      <c r="N84" s="127">
        <f t="shared" si="6"/>
        <v>36</v>
      </c>
      <c r="O84" s="127">
        <v>1</v>
      </c>
      <c r="P84" s="127">
        <v>2</v>
      </c>
      <c r="Q84" s="127">
        <v>1</v>
      </c>
      <c r="R84" s="127">
        <v>3</v>
      </c>
      <c r="S84" s="127">
        <f t="shared" si="7"/>
        <v>2</v>
      </c>
      <c r="T84" s="122">
        <v>57.73</v>
      </c>
      <c r="U84" s="122">
        <v>86.6</v>
      </c>
      <c r="V84" s="122">
        <v>84.5</v>
      </c>
      <c r="W84" s="122">
        <v>169</v>
      </c>
      <c r="X84" s="122">
        <v>134</v>
      </c>
      <c r="Y84" s="122">
        <v>188</v>
      </c>
      <c r="Z84" s="132">
        <v>1048</v>
      </c>
      <c r="AA84" s="132">
        <v>1310</v>
      </c>
      <c r="AB84">
        <f t="shared" si="8"/>
        <v>1239.73</v>
      </c>
    </row>
    <row r="85" spans="1:28">
      <c r="A85" s="89">
        <v>83</v>
      </c>
      <c r="B85" s="89">
        <v>713</v>
      </c>
      <c r="C85" s="89" t="s">
        <v>201</v>
      </c>
      <c r="D85" s="89" t="s">
        <v>113</v>
      </c>
      <c r="E85" s="89" t="s">
        <v>188</v>
      </c>
      <c r="F85" s="122">
        <v>6</v>
      </c>
      <c r="G85" s="122">
        <v>9</v>
      </c>
      <c r="H85" s="122">
        <v>14</v>
      </c>
      <c r="I85" s="127">
        <v>15</v>
      </c>
      <c r="J85" s="127">
        <v>20</v>
      </c>
      <c r="K85" s="127">
        <v>20</v>
      </c>
      <c r="L85" s="127">
        <v>1</v>
      </c>
      <c r="M85" s="127">
        <v>1</v>
      </c>
      <c r="N85" s="127">
        <f t="shared" si="6"/>
        <v>35</v>
      </c>
      <c r="O85" s="127">
        <v>1</v>
      </c>
      <c r="P85" s="127">
        <v>2</v>
      </c>
      <c r="Q85" s="127">
        <v>1</v>
      </c>
      <c r="R85" s="127">
        <v>3</v>
      </c>
      <c r="S85" s="127">
        <f t="shared" si="7"/>
        <v>2</v>
      </c>
      <c r="T85" s="122">
        <v>78</v>
      </c>
      <c r="U85" s="122">
        <v>117</v>
      </c>
      <c r="V85" s="122">
        <v>84.5</v>
      </c>
      <c r="W85" s="122">
        <v>169</v>
      </c>
      <c r="X85" s="122">
        <v>884.36</v>
      </c>
      <c r="Y85" s="123">
        <v>1105</v>
      </c>
      <c r="Z85" s="132">
        <v>1239</v>
      </c>
      <c r="AA85" s="132">
        <v>1548.75</v>
      </c>
      <c r="AB85">
        <f t="shared" si="8"/>
        <v>2201.36</v>
      </c>
    </row>
    <row r="86" spans="1:28">
      <c r="A86" s="89">
        <v>84</v>
      </c>
      <c r="B86" s="89">
        <v>311</v>
      </c>
      <c r="C86" s="89" t="s">
        <v>117</v>
      </c>
      <c r="D86" s="89" t="s">
        <v>107</v>
      </c>
      <c r="E86" s="89" t="s">
        <v>93</v>
      </c>
      <c r="F86" s="122">
        <v>24</v>
      </c>
      <c r="G86" s="122">
        <v>29</v>
      </c>
      <c r="H86" s="122">
        <v>15</v>
      </c>
      <c r="I86" s="127">
        <v>17</v>
      </c>
      <c r="J86" s="127">
        <v>6</v>
      </c>
      <c r="K86" s="127">
        <v>3</v>
      </c>
      <c r="L86" s="127">
        <v>2</v>
      </c>
      <c r="M86" s="127">
        <v>3</v>
      </c>
      <c r="N86" s="127">
        <f t="shared" si="6"/>
        <v>23</v>
      </c>
      <c r="O86" s="127">
        <v>1</v>
      </c>
      <c r="P86" s="127">
        <v>2</v>
      </c>
      <c r="Q86" s="127">
        <v>3</v>
      </c>
      <c r="R86" s="127">
        <v>5</v>
      </c>
      <c r="S86" s="127">
        <f t="shared" si="7"/>
        <v>4</v>
      </c>
      <c r="T86" s="123">
        <v>150</v>
      </c>
      <c r="U86" s="122">
        <v>225</v>
      </c>
      <c r="V86" s="122">
        <v>84.5</v>
      </c>
      <c r="W86" s="122">
        <v>169</v>
      </c>
      <c r="X86" s="122">
        <v>620.92</v>
      </c>
      <c r="Y86" s="123">
        <v>776</v>
      </c>
      <c r="Z86" s="132">
        <v>3551</v>
      </c>
      <c r="AA86" s="132">
        <v>4438.75</v>
      </c>
      <c r="AB86">
        <f t="shared" si="8"/>
        <v>4321.92</v>
      </c>
    </row>
    <row r="87" spans="1:28">
      <c r="A87" s="89">
        <v>85</v>
      </c>
      <c r="B87" s="91">
        <v>102565</v>
      </c>
      <c r="C87" s="89" t="s">
        <v>118</v>
      </c>
      <c r="D87" s="89" t="s">
        <v>109</v>
      </c>
      <c r="E87" s="89" t="s">
        <v>93</v>
      </c>
      <c r="F87" s="122">
        <v>6</v>
      </c>
      <c r="G87" s="122">
        <v>11</v>
      </c>
      <c r="H87" s="122">
        <v>15</v>
      </c>
      <c r="I87" s="127">
        <v>17</v>
      </c>
      <c r="J87" s="127">
        <v>29</v>
      </c>
      <c r="K87" s="127">
        <v>32</v>
      </c>
      <c r="L87" s="127">
        <v>2</v>
      </c>
      <c r="M87" s="127">
        <v>3</v>
      </c>
      <c r="N87" s="127">
        <f t="shared" si="6"/>
        <v>46</v>
      </c>
      <c r="O87" s="127">
        <v>1</v>
      </c>
      <c r="P87" s="127">
        <v>2</v>
      </c>
      <c r="Q87" s="127">
        <v>3</v>
      </c>
      <c r="R87" s="127">
        <v>5</v>
      </c>
      <c r="S87" s="127">
        <f t="shared" si="7"/>
        <v>4</v>
      </c>
      <c r="T87" s="122">
        <v>632.3</v>
      </c>
      <c r="U87" s="122">
        <v>885.22</v>
      </c>
      <c r="V87" s="122">
        <v>84.5</v>
      </c>
      <c r="W87" s="122">
        <v>169</v>
      </c>
      <c r="X87" s="122">
        <v>689</v>
      </c>
      <c r="Y87" s="123">
        <v>861</v>
      </c>
      <c r="Z87" s="132">
        <v>380</v>
      </c>
      <c r="AA87" s="132">
        <v>532</v>
      </c>
      <c r="AB87">
        <f t="shared" si="8"/>
        <v>1701.3</v>
      </c>
    </row>
    <row r="88" spans="1:28">
      <c r="A88" s="89">
        <v>86</v>
      </c>
      <c r="B88" s="91">
        <v>102564</v>
      </c>
      <c r="C88" s="89" t="s">
        <v>205</v>
      </c>
      <c r="D88" s="89" t="s">
        <v>113</v>
      </c>
      <c r="E88" s="89" t="s">
        <v>204</v>
      </c>
      <c r="F88" s="122">
        <v>6</v>
      </c>
      <c r="G88" s="122">
        <v>9</v>
      </c>
      <c r="H88" s="122">
        <v>9</v>
      </c>
      <c r="I88" s="127">
        <v>9</v>
      </c>
      <c r="J88" s="127">
        <v>16</v>
      </c>
      <c r="K88" s="127">
        <v>15</v>
      </c>
      <c r="L88" s="127">
        <v>1</v>
      </c>
      <c r="M88" s="127">
        <v>1</v>
      </c>
      <c r="N88" s="127">
        <f t="shared" si="6"/>
        <v>26</v>
      </c>
      <c r="O88" s="127">
        <v>1</v>
      </c>
      <c r="P88" s="127">
        <v>2</v>
      </c>
      <c r="Q88" s="127">
        <v>2</v>
      </c>
      <c r="R88" s="127">
        <v>4</v>
      </c>
      <c r="S88" s="127">
        <f t="shared" si="7"/>
        <v>3</v>
      </c>
      <c r="T88" s="122">
        <v>100</v>
      </c>
      <c r="U88" s="122">
        <v>150</v>
      </c>
      <c r="V88" s="122">
        <v>355.01</v>
      </c>
      <c r="W88" s="122">
        <v>532.5</v>
      </c>
      <c r="X88" s="122">
        <v>476</v>
      </c>
      <c r="Y88" s="122">
        <v>666</v>
      </c>
      <c r="Z88" s="132">
        <v>160</v>
      </c>
      <c r="AA88" s="132">
        <v>224</v>
      </c>
      <c r="AB88">
        <f t="shared" si="8"/>
        <v>736</v>
      </c>
    </row>
    <row r="89" spans="1:28">
      <c r="A89" s="89">
        <v>87</v>
      </c>
      <c r="B89" s="91">
        <v>102567</v>
      </c>
      <c r="C89" s="89" t="s">
        <v>184</v>
      </c>
      <c r="D89" s="89" t="s">
        <v>109</v>
      </c>
      <c r="E89" s="89" t="s">
        <v>185</v>
      </c>
      <c r="F89" s="122">
        <v>6</v>
      </c>
      <c r="G89" s="122">
        <v>11</v>
      </c>
      <c r="H89" s="122">
        <v>15</v>
      </c>
      <c r="I89" s="127">
        <v>17</v>
      </c>
      <c r="J89" s="127">
        <v>29</v>
      </c>
      <c r="K89" s="127">
        <v>32</v>
      </c>
      <c r="L89" s="127">
        <v>2</v>
      </c>
      <c r="M89" s="127">
        <v>3</v>
      </c>
      <c r="N89" s="127">
        <f t="shared" si="6"/>
        <v>46</v>
      </c>
      <c r="O89" s="127">
        <v>1</v>
      </c>
      <c r="P89" s="127">
        <v>2</v>
      </c>
      <c r="Q89" s="127">
        <v>3</v>
      </c>
      <c r="R89" s="127">
        <v>5</v>
      </c>
      <c r="S89" s="127">
        <f t="shared" si="7"/>
        <v>4</v>
      </c>
      <c r="T89" s="122">
        <v>564.3</v>
      </c>
      <c r="U89" s="122">
        <v>790.02</v>
      </c>
      <c r="V89" s="122">
        <v>84.5</v>
      </c>
      <c r="W89" s="122">
        <v>169</v>
      </c>
      <c r="X89" s="122">
        <v>689</v>
      </c>
      <c r="Y89" s="123">
        <v>861</v>
      </c>
      <c r="Z89" s="132">
        <v>380</v>
      </c>
      <c r="AA89" s="132">
        <v>532</v>
      </c>
      <c r="AB89">
        <f t="shared" si="8"/>
        <v>1633.3</v>
      </c>
    </row>
    <row r="90" spans="1:28">
      <c r="A90" s="89">
        <v>88</v>
      </c>
      <c r="B90" s="91">
        <v>102935</v>
      </c>
      <c r="C90" s="89" t="s">
        <v>164</v>
      </c>
      <c r="D90" s="89" t="s">
        <v>109</v>
      </c>
      <c r="E90" s="89" t="s">
        <v>149</v>
      </c>
      <c r="F90" s="122">
        <v>6</v>
      </c>
      <c r="G90" s="122">
        <v>11</v>
      </c>
      <c r="H90" s="122">
        <v>15</v>
      </c>
      <c r="I90" s="127">
        <v>17</v>
      </c>
      <c r="J90" s="127">
        <v>29</v>
      </c>
      <c r="K90" s="127">
        <v>32</v>
      </c>
      <c r="L90" s="127">
        <v>2</v>
      </c>
      <c r="M90" s="127">
        <v>3</v>
      </c>
      <c r="N90" s="127">
        <f t="shared" si="6"/>
        <v>46</v>
      </c>
      <c r="O90" s="127">
        <v>1</v>
      </c>
      <c r="P90" s="127">
        <v>2</v>
      </c>
      <c r="Q90" s="127">
        <v>4</v>
      </c>
      <c r="R90" s="127">
        <v>6</v>
      </c>
      <c r="S90" s="127">
        <f t="shared" si="7"/>
        <v>5</v>
      </c>
      <c r="T90" s="122">
        <v>68</v>
      </c>
      <c r="U90" s="122">
        <v>102</v>
      </c>
      <c r="V90" s="122">
        <v>84.5</v>
      </c>
      <c r="W90" s="122">
        <v>169</v>
      </c>
      <c r="X90" s="122">
        <v>689</v>
      </c>
      <c r="Y90" s="123">
        <v>861</v>
      </c>
      <c r="Z90" s="132">
        <v>380</v>
      </c>
      <c r="AA90" s="132">
        <v>532</v>
      </c>
      <c r="AB90">
        <f t="shared" si="8"/>
        <v>1137</v>
      </c>
    </row>
    <row r="91" spans="1:28">
      <c r="A91" s="89">
        <v>89</v>
      </c>
      <c r="B91" s="91">
        <v>103198</v>
      </c>
      <c r="C91" s="89" t="s">
        <v>119</v>
      </c>
      <c r="D91" s="89" t="s">
        <v>109</v>
      </c>
      <c r="E91" s="89" t="s">
        <v>93</v>
      </c>
      <c r="F91" s="122">
        <v>6</v>
      </c>
      <c r="G91" s="122">
        <v>11</v>
      </c>
      <c r="H91" s="122">
        <v>15</v>
      </c>
      <c r="I91" s="127">
        <v>17</v>
      </c>
      <c r="J91" s="127">
        <v>29</v>
      </c>
      <c r="K91" s="127">
        <v>32</v>
      </c>
      <c r="L91" s="127">
        <v>2</v>
      </c>
      <c r="M91" s="127">
        <v>3</v>
      </c>
      <c r="N91" s="127">
        <f t="shared" si="6"/>
        <v>46</v>
      </c>
      <c r="O91" s="127">
        <v>2</v>
      </c>
      <c r="P91" s="127">
        <v>3</v>
      </c>
      <c r="Q91" s="127">
        <v>5</v>
      </c>
      <c r="R91" s="127">
        <v>8</v>
      </c>
      <c r="S91" s="127">
        <f t="shared" si="7"/>
        <v>7</v>
      </c>
      <c r="T91" s="123">
        <v>150</v>
      </c>
      <c r="U91" s="122">
        <v>225</v>
      </c>
      <c r="V91" s="122">
        <v>1164.51</v>
      </c>
      <c r="W91" s="122">
        <v>1339.2</v>
      </c>
      <c r="X91" s="122">
        <v>689</v>
      </c>
      <c r="Y91" s="123">
        <v>861</v>
      </c>
      <c r="Z91" s="132">
        <v>380</v>
      </c>
      <c r="AA91" s="132">
        <v>532</v>
      </c>
      <c r="AB91">
        <f t="shared" si="8"/>
        <v>1219</v>
      </c>
    </row>
    <row r="92" spans="1:28">
      <c r="A92" s="89">
        <v>90</v>
      </c>
      <c r="B92" s="91">
        <v>103199</v>
      </c>
      <c r="C92" s="89" t="s">
        <v>120</v>
      </c>
      <c r="D92" s="89" t="s">
        <v>109</v>
      </c>
      <c r="E92" s="89" t="s">
        <v>93</v>
      </c>
      <c r="F92" s="122">
        <v>6</v>
      </c>
      <c r="G92" s="122">
        <v>11</v>
      </c>
      <c r="H92" s="122">
        <v>15</v>
      </c>
      <c r="I92" s="127">
        <v>17</v>
      </c>
      <c r="J92" s="127">
        <v>29</v>
      </c>
      <c r="K92" s="127">
        <v>32</v>
      </c>
      <c r="L92" s="127">
        <v>2</v>
      </c>
      <c r="M92" s="127">
        <v>3</v>
      </c>
      <c r="N92" s="127">
        <f t="shared" si="6"/>
        <v>46</v>
      </c>
      <c r="O92" s="127">
        <v>1</v>
      </c>
      <c r="P92" s="127">
        <v>2</v>
      </c>
      <c r="Q92" s="127">
        <v>1</v>
      </c>
      <c r="R92" s="127">
        <v>3</v>
      </c>
      <c r="S92" s="127">
        <f t="shared" si="7"/>
        <v>2</v>
      </c>
      <c r="T92" s="122">
        <v>68</v>
      </c>
      <c r="U92" s="122">
        <v>102</v>
      </c>
      <c r="V92" s="122">
        <v>84.5</v>
      </c>
      <c r="W92" s="122">
        <v>169</v>
      </c>
      <c r="X92" s="122">
        <v>689</v>
      </c>
      <c r="Y92" s="123">
        <v>861</v>
      </c>
      <c r="Z92" s="132">
        <v>380</v>
      </c>
      <c r="AA92" s="132">
        <v>532</v>
      </c>
      <c r="AB92">
        <f t="shared" si="8"/>
        <v>1137</v>
      </c>
    </row>
    <row r="93" spans="1:28">
      <c r="A93" s="89">
        <v>91</v>
      </c>
      <c r="B93" s="91">
        <v>102934</v>
      </c>
      <c r="C93" s="89" t="s">
        <v>121</v>
      </c>
      <c r="D93" s="89" t="s">
        <v>92</v>
      </c>
      <c r="E93" s="89" t="s">
        <v>93</v>
      </c>
      <c r="F93" s="122">
        <v>24</v>
      </c>
      <c r="G93" s="122">
        <v>32</v>
      </c>
      <c r="H93" s="122">
        <v>42</v>
      </c>
      <c r="I93" s="127">
        <v>49</v>
      </c>
      <c r="J93" s="127">
        <v>30</v>
      </c>
      <c r="K93" s="127">
        <v>33</v>
      </c>
      <c r="L93" s="127">
        <v>2</v>
      </c>
      <c r="M93" s="127">
        <v>3</v>
      </c>
      <c r="N93" s="127">
        <f t="shared" si="6"/>
        <v>74</v>
      </c>
      <c r="O93" s="127">
        <v>4</v>
      </c>
      <c r="P93" s="127">
        <v>6</v>
      </c>
      <c r="Q93" s="127">
        <v>18</v>
      </c>
      <c r="R93" s="127">
        <v>23</v>
      </c>
      <c r="S93" s="127">
        <f t="shared" si="7"/>
        <v>22</v>
      </c>
      <c r="T93" s="123">
        <v>300</v>
      </c>
      <c r="U93" s="122">
        <v>450</v>
      </c>
      <c r="V93" s="122">
        <v>168</v>
      </c>
      <c r="W93" s="122">
        <v>252</v>
      </c>
      <c r="X93" s="122">
        <v>830</v>
      </c>
      <c r="Y93" s="122">
        <v>980</v>
      </c>
      <c r="Z93" s="132">
        <v>1826</v>
      </c>
      <c r="AA93" s="132">
        <v>2282.5</v>
      </c>
      <c r="AB93">
        <f t="shared" si="8"/>
        <v>2956</v>
      </c>
    </row>
    <row r="94" spans="1:28">
      <c r="A94" s="89">
        <v>92</v>
      </c>
      <c r="B94" s="91">
        <v>102478</v>
      </c>
      <c r="C94" s="89" t="s">
        <v>165</v>
      </c>
      <c r="D94" s="89" t="s">
        <v>139</v>
      </c>
      <c r="E94" s="89" t="s">
        <v>149</v>
      </c>
      <c r="F94" s="122">
        <v>6</v>
      </c>
      <c r="G94" s="122">
        <v>9</v>
      </c>
      <c r="H94" s="122">
        <v>9</v>
      </c>
      <c r="I94" s="127">
        <v>9</v>
      </c>
      <c r="J94" s="127">
        <v>16</v>
      </c>
      <c r="K94" s="127">
        <v>15</v>
      </c>
      <c r="L94" s="127">
        <v>1</v>
      </c>
      <c r="M94" s="127">
        <v>1</v>
      </c>
      <c r="N94" s="127">
        <f t="shared" si="6"/>
        <v>26</v>
      </c>
      <c r="O94" s="127">
        <v>1</v>
      </c>
      <c r="P94" s="127">
        <v>2</v>
      </c>
      <c r="Q94" s="127">
        <v>1</v>
      </c>
      <c r="R94" s="127">
        <v>3</v>
      </c>
      <c r="S94" s="127">
        <f t="shared" si="7"/>
        <v>2</v>
      </c>
      <c r="T94" s="122">
        <v>100</v>
      </c>
      <c r="U94" s="122">
        <v>150</v>
      </c>
      <c r="V94" s="122">
        <v>84.5</v>
      </c>
      <c r="W94" s="122">
        <v>169</v>
      </c>
      <c r="X94" s="122">
        <v>204</v>
      </c>
      <c r="Y94" s="122">
        <v>286</v>
      </c>
      <c r="Z94" s="132">
        <v>160</v>
      </c>
      <c r="AA94" s="132">
        <v>224</v>
      </c>
      <c r="AB94">
        <f t="shared" si="8"/>
        <v>464</v>
      </c>
    </row>
    <row r="95" spans="1:28">
      <c r="A95" s="89">
        <v>93</v>
      </c>
      <c r="B95" s="91">
        <v>102479</v>
      </c>
      <c r="C95" s="89" t="s">
        <v>166</v>
      </c>
      <c r="D95" s="89" t="s">
        <v>109</v>
      </c>
      <c r="E95" s="89" t="s">
        <v>149</v>
      </c>
      <c r="F95" s="122">
        <v>6</v>
      </c>
      <c r="G95" s="122">
        <v>11</v>
      </c>
      <c r="H95" s="122">
        <v>15</v>
      </c>
      <c r="I95" s="127">
        <v>17</v>
      </c>
      <c r="J95" s="127">
        <v>29</v>
      </c>
      <c r="K95" s="127">
        <v>32</v>
      </c>
      <c r="L95" s="127">
        <v>2</v>
      </c>
      <c r="M95" s="127">
        <v>3</v>
      </c>
      <c r="N95" s="127">
        <f t="shared" si="6"/>
        <v>46</v>
      </c>
      <c r="O95" s="127">
        <v>1</v>
      </c>
      <c r="P95" s="127">
        <v>2</v>
      </c>
      <c r="Q95" s="127">
        <v>10</v>
      </c>
      <c r="R95" s="127">
        <v>15</v>
      </c>
      <c r="S95" s="127">
        <f t="shared" si="7"/>
        <v>11</v>
      </c>
      <c r="T95" s="122">
        <v>168.3</v>
      </c>
      <c r="U95" s="122">
        <v>252.45</v>
      </c>
      <c r="V95" s="122">
        <v>84.5</v>
      </c>
      <c r="W95" s="122">
        <v>169</v>
      </c>
      <c r="X95" s="122">
        <v>689</v>
      </c>
      <c r="Y95" s="123">
        <v>861</v>
      </c>
      <c r="Z95" s="132">
        <v>380</v>
      </c>
      <c r="AA95" s="132">
        <v>532</v>
      </c>
      <c r="AB95">
        <f t="shared" si="8"/>
        <v>1237.3</v>
      </c>
    </row>
    <row r="96" spans="1:28">
      <c r="A96" s="89">
        <v>94</v>
      </c>
      <c r="B96" s="91">
        <v>103639</v>
      </c>
      <c r="C96" s="89" t="s">
        <v>146</v>
      </c>
      <c r="D96" s="89" t="s">
        <v>109</v>
      </c>
      <c r="E96" s="89" t="s">
        <v>127</v>
      </c>
      <c r="F96" s="122">
        <v>6</v>
      </c>
      <c r="G96" s="122">
        <v>11</v>
      </c>
      <c r="H96" s="122">
        <v>15</v>
      </c>
      <c r="I96" s="127">
        <v>17</v>
      </c>
      <c r="J96" s="127">
        <v>29</v>
      </c>
      <c r="K96" s="127">
        <v>32</v>
      </c>
      <c r="L96" s="127">
        <v>2</v>
      </c>
      <c r="M96" s="127">
        <v>3</v>
      </c>
      <c r="N96" s="127">
        <f t="shared" si="6"/>
        <v>46</v>
      </c>
      <c r="O96" s="127">
        <v>1</v>
      </c>
      <c r="P96" s="127">
        <v>2</v>
      </c>
      <c r="Q96" s="127">
        <v>2</v>
      </c>
      <c r="R96" s="127">
        <v>4</v>
      </c>
      <c r="S96" s="127">
        <f t="shared" si="7"/>
        <v>3</v>
      </c>
      <c r="T96" s="123">
        <v>150</v>
      </c>
      <c r="U96" s="122">
        <v>225</v>
      </c>
      <c r="V96" s="122">
        <v>84.5</v>
      </c>
      <c r="W96" s="122">
        <v>169</v>
      </c>
      <c r="X96" s="122">
        <v>689</v>
      </c>
      <c r="Y96" s="123">
        <v>861</v>
      </c>
      <c r="Z96" s="132">
        <v>380</v>
      </c>
      <c r="AA96" s="132">
        <v>532</v>
      </c>
      <c r="AB96">
        <f t="shared" si="8"/>
        <v>1219</v>
      </c>
    </row>
    <row r="97" s="27" customFormat="1" spans="1:28">
      <c r="A97" s="103"/>
      <c r="B97" s="32" t="s">
        <v>208</v>
      </c>
      <c r="C97" s="103"/>
      <c r="D97" s="32"/>
      <c r="E97" s="103"/>
      <c r="F97" s="133">
        <v>1520</v>
      </c>
      <c r="G97" s="133">
        <v>2023</v>
      </c>
      <c r="H97" s="122">
        <v>3330</v>
      </c>
      <c r="I97" s="127">
        <v>3720</v>
      </c>
      <c r="J97" s="127">
        <v>4560</v>
      </c>
      <c r="K97" s="127">
        <v>5074</v>
      </c>
      <c r="L97" s="127">
        <v>301</v>
      </c>
      <c r="M97" s="127">
        <v>390</v>
      </c>
      <c r="N97" s="127">
        <f t="shared" si="6"/>
        <v>8191</v>
      </c>
      <c r="O97" s="127">
        <v>139</v>
      </c>
      <c r="P97" s="127">
        <v>242</v>
      </c>
      <c r="Q97" s="127">
        <v>715</v>
      </c>
      <c r="R97" s="127">
        <v>1041</v>
      </c>
      <c r="S97" s="127">
        <f t="shared" si="7"/>
        <v>854</v>
      </c>
      <c r="T97" s="127">
        <v>40952.85</v>
      </c>
      <c r="U97" s="127">
        <v>55909.87</v>
      </c>
      <c r="V97" s="127">
        <v>35205.79</v>
      </c>
      <c r="W97" s="127">
        <v>45306.8</v>
      </c>
      <c r="X97" s="127">
        <v>69978.33</v>
      </c>
      <c r="Y97" s="133">
        <v>85166</v>
      </c>
      <c r="Z97" s="136">
        <v>202159.94</v>
      </c>
      <c r="AA97" s="136">
        <v>242398.49</v>
      </c>
      <c r="AB97">
        <f t="shared" si="8"/>
        <v>313091.12</v>
      </c>
    </row>
    <row r="99" s="26" customFormat="1" ht="62" customHeight="1" spans="1:27">
      <c r="A99" s="134" t="s">
        <v>209</v>
      </c>
      <c r="B99" s="134"/>
      <c r="C99" s="134"/>
      <c r="D99" s="135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3"/>
      <c r="Z99" s="117"/>
      <c r="AA99" s="117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4" workbookViewId="0">
      <selection activeCell="D19" sqref="D19"/>
    </sheetView>
  </sheetViews>
  <sheetFormatPr defaultColWidth="9" defaultRowHeight="21" customHeight="1" outlineLevelCol="6"/>
  <cols>
    <col min="1" max="1" width="12.5" style="2" customWidth="1"/>
    <col min="2" max="2" width="8.75" style="2" customWidth="1"/>
    <col min="3" max="3" width="10.75" style="2" customWidth="1"/>
    <col min="4" max="4" width="30" style="105" customWidth="1"/>
    <col min="5" max="6" width="30" style="2" customWidth="1"/>
  </cols>
  <sheetData>
    <row r="1" customHeight="1" spans="1:6">
      <c r="A1" s="4" t="s">
        <v>215</v>
      </c>
      <c r="B1" s="5"/>
      <c r="C1" s="5"/>
      <c r="D1" s="106"/>
      <c r="E1" s="5"/>
      <c r="F1" s="5"/>
    </row>
    <row r="2" s="1" customFormat="1" ht="34" customHeight="1" spans="1:6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</row>
    <row r="3" customHeight="1" spans="1:6">
      <c r="A3" s="9">
        <v>1</v>
      </c>
      <c r="B3" s="36" t="s">
        <v>216</v>
      </c>
      <c r="C3" s="36">
        <v>115733</v>
      </c>
      <c r="D3" s="107" t="s">
        <v>217</v>
      </c>
      <c r="E3" s="36" t="s">
        <v>218</v>
      </c>
      <c r="F3" s="36" t="s">
        <v>219</v>
      </c>
    </row>
    <row r="4" customHeight="1" spans="1:6">
      <c r="A4" s="9">
        <v>2</v>
      </c>
      <c r="B4" s="22" t="s">
        <v>220</v>
      </c>
      <c r="C4" s="23"/>
      <c r="D4" s="21" t="s">
        <v>220</v>
      </c>
      <c r="E4" s="23"/>
      <c r="F4" s="24" t="s">
        <v>221</v>
      </c>
    </row>
    <row r="5" customHeight="1" spans="1:7">
      <c r="A5" s="9">
        <v>3</v>
      </c>
      <c r="B5" s="65" t="s">
        <v>222</v>
      </c>
      <c r="C5" s="16">
        <v>148955</v>
      </c>
      <c r="D5" s="16" t="s">
        <v>223</v>
      </c>
      <c r="E5" s="16" t="s">
        <v>224</v>
      </c>
      <c r="F5" s="16" t="s">
        <v>225</v>
      </c>
      <c r="G5" s="3"/>
    </row>
    <row r="6" customHeight="1" spans="1:7">
      <c r="A6" s="9"/>
      <c r="B6" s="69"/>
      <c r="C6" s="16">
        <v>1454</v>
      </c>
      <c r="D6" s="16" t="s">
        <v>226</v>
      </c>
      <c r="E6" s="16" t="s">
        <v>227</v>
      </c>
      <c r="F6" s="16" t="s">
        <v>225</v>
      </c>
      <c r="G6" s="3"/>
    </row>
    <row r="7" customHeight="1" spans="1:6">
      <c r="A7" s="9"/>
      <c r="B7" s="72"/>
      <c r="C7" s="36">
        <v>63764</v>
      </c>
      <c r="D7" s="107" t="s">
        <v>228</v>
      </c>
      <c r="E7" s="36" t="s">
        <v>229</v>
      </c>
      <c r="F7" s="36" t="s">
        <v>230</v>
      </c>
    </row>
    <row r="8" customHeight="1" spans="1:6">
      <c r="A8" s="9">
        <v>4</v>
      </c>
      <c r="B8" s="36" t="s">
        <v>231</v>
      </c>
      <c r="C8" s="36">
        <v>119652</v>
      </c>
      <c r="D8" s="107" t="s">
        <v>232</v>
      </c>
      <c r="E8" s="36" t="s">
        <v>233</v>
      </c>
      <c r="F8" s="36" t="s">
        <v>234</v>
      </c>
    </row>
    <row r="9" customHeight="1" spans="1:6">
      <c r="A9" s="9">
        <v>5</v>
      </c>
      <c r="B9" s="36" t="s">
        <v>235</v>
      </c>
      <c r="C9" s="36">
        <v>165176</v>
      </c>
      <c r="D9" s="107" t="s">
        <v>236</v>
      </c>
      <c r="E9" s="36" t="s">
        <v>237</v>
      </c>
      <c r="F9" s="36" t="s">
        <v>238</v>
      </c>
    </row>
    <row r="10" customHeight="1" spans="1:6">
      <c r="A10" s="9">
        <v>6</v>
      </c>
      <c r="B10" s="108" t="s">
        <v>239</v>
      </c>
      <c r="C10" s="36">
        <v>47683</v>
      </c>
      <c r="D10" s="107" t="s">
        <v>240</v>
      </c>
      <c r="E10" s="36" t="s">
        <v>241</v>
      </c>
      <c r="F10" s="36" t="s">
        <v>242</v>
      </c>
    </row>
    <row r="11" customHeight="1" spans="1:6">
      <c r="A11" s="9"/>
      <c r="B11" s="109"/>
      <c r="C11" s="36">
        <v>1846</v>
      </c>
      <c r="D11" s="107" t="s">
        <v>240</v>
      </c>
      <c r="E11" s="36" t="s">
        <v>243</v>
      </c>
      <c r="F11" s="36" t="s">
        <v>242</v>
      </c>
    </row>
    <row r="12" customHeight="1" spans="1:6">
      <c r="A12" s="9"/>
      <c r="B12" s="109"/>
      <c r="C12" s="36">
        <v>171499</v>
      </c>
      <c r="D12" s="107" t="s">
        <v>244</v>
      </c>
      <c r="E12" s="36" t="s">
        <v>245</v>
      </c>
      <c r="F12" s="36" t="s">
        <v>246</v>
      </c>
    </row>
    <row r="13" customHeight="1" spans="1:6">
      <c r="A13" s="9"/>
      <c r="B13" s="109"/>
      <c r="C13" s="36">
        <v>110737</v>
      </c>
      <c r="D13" s="107" t="s">
        <v>244</v>
      </c>
      <c r="E13" s="36" t="s">
        <v>247</v>
      </c>
      <c r="F13" s="36" t="s">
        <v>246</v>
      </c>
    </row>
    <row r="14" customHeight="1" spans="1:6">
      <c r="A14" s="9"/>
      <c r="B14" s="110"/>
      <c r="C14" s="36">
        <v>58522</v>
      </c>
      <c r="D14" s="107" t="s">
        <v>248</v>
      </c>
      <c r="E14" s="36" t="s">
        <v>249</v>
      </c>
      <c r="F14" s="36" t="s">
        <v>250</v>
      </c>
    </row>
    <row r="15" customHeight="1" spans="1:6">
      <c r="A15" s="111">
        <v>7</v>
      </c>
      <c r="B15" s="108" t="s">
        <v>36</v>
      </c>
      <c r="C15" s="36">
        <v>118954</v>
      </c>
      <c r="D15" s="107" t="s">
        <v>37</v>
      </c>
      <c r="E15" s="36" t="s">
        <v>251</v>
      </c>
      <c r="F15" s="36" t="s">
        <v>252</v>
      </c>
    </row>
    <row r="16" customHeight="1" spans="1:6">
      <c r="A16" s="112"/>
      <c r="B16" s="109"/>
      <c r="C16" s="36">
        <v>131942</v>
      </c>
      <c r="D16" s="107" t="s">
        <v>37</v>
      </c>
      <c r="E16" s="36" t="s">
        <v>253</v>
      </c>
      <c r="F16" s="36" t="s">
        <v>252</v>
      </c>
    </row>
    <row r="17" customHeight="1" spans="1:6">
      <c r="A17" s="113"/>
      <c r="B17" s="110"/>
      <c r="C17" s="13">
        <v>136714</v>
      </c>
      <c r="D17" s="13" t="s">
        <v>41</v>
      </c>
      <c r="E17" s="13" t="s">
        <v>42</v>
      </c>
      <c r="F17" s="13" t="s">
        <v>43</v>
      </c>
    </row>
    <row r="18" customFormat="1" customHeight="1" spans="1:6">
      <c r="A18" s="9">
        <v>8</v>
      </c>
      <c r="B18" s="10" t="s">
        <v>254</v>
      </c>
      <c r="C18" s="14">
        <v>45375</v>
      </c>
      <c r="D18" s="14" t="s">
        <v>255</v>
      </c>
      <c r="E18" s="14" t="s">
        <v>256</v>
      </c>
      <c r="F18" s="10" t="s">
        <v>257</v>
      </c>
    </row>
    <row r="19" customFormat="1" customHeight="1" spans="1:6">
      <c r="A19" s="9"/>
      <c r="B19" s="10"/>
      <c r="C19" s="14">
        <v>39103</v>
      </c>
      <c r="D19" s="14" t="s">
        <v>258</v>
      </c>
      <c r="E19" s="14" t="s">
        <v>259</v>
      </c>
      <c r="F19" s="10" t="s">
        <v>260</v>
      </c>
    </row>
    <row r="20" customFormat="1" customHeight="1" spans="1:6">
      <c r="A20" s="9"/>
      <c r="B20" s="10"/>
      <c r="C20" s="14">
        <v>174232</v>
      </c>
      <c r="D20" s="15" t="s">
        <v>258</v>
      </c>
      <c r="E20" s="14" t="s">
        <v>261</v>
      </c>
      <c r="F20" s="10" t="s">
        <v>260</v>
      </c>
    </row>
    <row r="21" customHeight="1" spans="1:6">
      <c r="A21" s="36" t="s">
        <v>262</v>
      </c>
      <c r="B21" s="36"/>
      <c r="C21" s="36"/>
      <c r="D21" s="107" t="s">
        <v>263</v>
      </c>
      <c r="E21" s="36" t="s">
        <v>264</v>
      </c>
      <c r="F21" s="114" t="s">
        <v>265</v>
      </c>
    </row>
  </sheetData>
  <mergeCells count="10">
    <mergeCell ref="A1:F1"/>
    <mergeCell ref="A5:A7"/>
    <mergeCell ref="A10:A14"/>
    <mergeCell ref="A15:A17"/>
    <mergeCell ref="A18:A20"/>
    <mergeCell ref="B5:B7"/>
    <mergeCell ref="B10:B14"/>
    <mergeCell ref="B15:B17"/>
    <mergeCell ref="B18:B20"/>
    <mergeCell ref="G5:G6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7"/>
  <sheetViews>
    <sheetView tabSelected="1" workbookViewId="0">
      <pane xSplit="4" ySplit="2" topLeftCell="Y90" activePane="bottomRight" state="frozen"/>
      <selection/>
      <selection pane="topRight"/>
      <selection pane="bottomLeft"/>
      <selection pane="bottomRight" activeCell="AJ105" sqref="AJ105"/>
    </sheetView>
  </sheetViews>
  <sheetFormatPr defaultColWidth="9" defaultRowHeight="13.5"/>
  <cols>
    <col min="1" max="1" width="3.75" style="81" customWidth="1"/>
    <col min="2" max="2" width="6.75" style="81" customWidth="1"/>
    <col min="3" max="3" width="26.125" style="82" customWidth="1"/>
    <col min="4" max="4" width="3.625" style="81" hidden="1" customWidth="1"/>
    <col min="5" max="5" width="11" style="81" customWidth="1"/>
    <col min="6" max="13" width="9.75" style="83" customWidth="1"/>
    <col min="14" max="28" width="9.75" style="3" customWidth="1"/>
    <col min="29" max="29" width="9.75" style="84" customWidth="1"/>
    <col min="30" max="30" width="9.75" style="85" customWidth="1"/>
    <col min="31" max="34" width="9.75" style="84" customWidth="1"/>
  </cols>
  <sheetData>
    <row r="1" s="78" customFormat="1" ht="21" customHeight="1" spans="1:36">
      <c r="A1" s="86" t="s">
        <v>266</v>
      </c>
      <c r="B1" s="86"/>
      <c r="C1" s="86"/>
      <c r="D1" s="86"/>
      <c r="E1" s="87"/>
      <c r="F1" s="88" t="s">
        <v>24</v>
      </c>
      <c r="G1" s="88"/>
      <c r="H1" s="88"/>
      <c r="I1" s="88"/>
      <c r="J1" s="88"/>
      <c r="K1" s="88"/>
      <c r="L1" s="88"/>
      <c r="M1" s="88" t="s">
        <v>36</v>
      </c>
      <c r="N1" s="88"/>
      <c r="O1" s="88"/>
      <c r="P1" s="88"/>
      <c r="Q1" s="88"/>
      <c r="R1" s="88"/>
      <c r="S1" s="88"/>
      <c r="T1" s="98" t="s">
        <v>50</v>
      </c>
      <c r="U1" s="98"/>
      <c r="V1" s="98"/>
      <c r="W1" s="98"/>
      <c r="X1" s="98"/>
      <c r="Y1" s="98"/>
      <c r="Z1" s="98"/>
      <c r="AA1" s="98"/>
      <c r="AB1" s="88" t="s">
        <v>77</v>
      </c>
      <c r="AC1" s="88"/>
      <c r="AD1" s="88"/>
      <c r="AE1" s="88"/>
      <c r="AF1" s="88"/>
      <c r="AG1" s="88"/>
      <c r="AH1" s="88"/>
      <c r="AI1" s="102"/>
      <c r="AJ1" s="102"/>
    </row>
    <row r="2" s="26" customFormat="1" ht="23" customHeight="1" spans="1:36">
      <c r="A2" s="28" t="s">
        <v>4</v>
      </c>
      <c r="B2" s="28" t="s">
        <v>78</v>
      </c>
      <c r="C2" s="28" t="s">
        <v>79</v>
      </c>
      <c r="D2" s="28" t="s">
        <v>80</v>
      </c>
      <c r="E2" s="28" t="s">
        <v>81</v>
      </c>
      <c r="F2" s="29" t="s">
        <v>20</v>
      </c>
      <c r="G2" s="30" t="s">
        <v>21</v>
      </c>
      <c r="H2" s="30" t="s">
        <v>267</v>
      </c>
      <c r="I2" s="30" t="s">
        <v>268</v>
      </c>
      <c r="J2" s="30" t="s">
        <v>269</v>
      </c>
      <c r="K2" s="30" t="s">
        <v>270</v>
      </c>
      <c r="L2" s="30" t="s">
        <v>22</v>
      </c>
      <c r="M2" s="34" t="s">
        <v>20</v>
      </c>
      <c r="N2" s="34" t="s">
        <v>21</v>
      </c>
      <c r="O2" s="34" t="s">
        <v>267</v>
      </c>
      <c r="P2" s="34" t="s">
        <v>268</v>
      </c>
      <c r="Q2" s="34" t="s">
        <v>269</v>
      </c>
      <c r="R2" s="34" t="s">
        <v>270</v>
      </c>
      <c r="S2" s="34" t="s">
        <v>22</v>
      </c>
      <c r="T2" s="35" t="s">
        <v>20</v>
      </c>
      <c r="U2" s="35" t="s">
        <v>21</v>
      </c>
      <c r="V2" s="35" t="s">
        <v>267</v>
      </c>
      <c r="W2" s="35" t="s">
        <v>271</v>
      </c>
      <c r="X2" s="35" t="s">
        <v>268</v>
      </c>
      <c r="Y2" s="35" t="s">
        <v>269</v>
      </c>
      <c r="Z2" s="35" t="s">
        <v>270</v>
      </c>
      <c r="AA2" s="35" t="s">
        <v>22</v>
      </c>
      <c r="AB2" s="37" t="s">
        <v>20</v>
      </c>
      <c r="AC2" s="37" t="s">
        <v>21</v>
      </c>
      <c r="AD2" s="38" t="s">
        <v>267</v>
      </c>
      <c r="AE2" s="39" t="s">
        <v>268</v>
      </c>
      <c r="AF2" s="39" t="s">
        <v>269</v>
      </c>
      <c r="AG2" s="39" t="s">
        <v>270</v>
      </c>
      <c r="AH2" s="39" t="s">
        <v>22</v>
      </c>
      <c r="AI2" s="40" t="s">
        <v>272</v>
      </c>
      <c r="AJ2" s="40" t="s">
        <v>273</v>
      </c>
    </row>
    <row r="3" spans="1:36">
      <c r="A3" s="89">
        <v>1</v>
      </c>
      <c r="B3" s="89">
        <v>343</v>
      </c>
      <c r="C3" s="21" t="s">
        <v>91</v>
      </c>
      <c r="D3" s="89" t="s">
        <v>92</v>
      </c>
      <c r="E3" s="89" t="s">
        <v>93</v>
      </c>
      <c r="F3" s="89">
        <v>23</v>
      </c>
      <c r="G3" s="89">
        <v>26</v>
      </c>
      <c r="H3" s="89">
        <f>VLOOKUP(B:B,'[4]SQL Results'!$B$1:$L$65536,11,0)</f>
        <v>32</v>
      </c>
      <c r="I3" s="89">
        <f>H3-F3</f>
        <v>9</v>
      </c>
      <c r="J3" s="89" t="s">
        <v>21</v>
      </c>
      <c r="K3" s="89">
        <f>H3*3.5</f>
        <v>112</v>
      </c>
      <c r="L3" s="89"/>
      <c r="M3" s="89">
        <v>238</v>
      </c>
      <c r="N3" s="33">
        <v>264</v>
      </c>
      <c r="O3" s="33">
        <v>174</v>
      </c>
      <c r="P3" s="33">
        <f>O3-M3</f>
        <v>-64</v>
      </c>
      <c r="Q3" s="33" t="s">
        <v>274</v>
      </c>
      <c r="R3" s="33">
        <f>O3*0.8</f>
        <v>139.2</v>
      </c>
      <c r="S3" s="33">
        <f>P3*0.6</f>
        <v>-38.4</v>
      </c>
      <c r="T3" s="33">
        <v>20</v>
      </c>
      <c r="U3" s="33">
        <v>22</v>
      </c>
      <c r="V3" s="33">
        <f>VLOOKUP(B:B,'[4]SQL Results'!$B$1:$Q$65536,16,0)</f>
        <v>5</v>
      </c>
      <c r="W3" s="33">
        <f>VLOOKUP(B:B,'[4]SQL Results'!$B$1:$P$65536,15,0)</f>
        <v>1262</v>
      </c>
      <c r="X3" s="33">
        <f>V3-T3</f>
        <v>-15</v>
      </c>
      <c r="Y3" s="33" t="s">
        <v>274</v>
      </c>
      <c r="Z3" s="33">
        <f>W3*0.05</f>
        <v>63.1</v>
      </c>
      <c r="AA3" s="33">
        <f>X3*8</f>
        <v>-120</v>
      </c>
      <c r="AB3" s="33">
        <v>16268</v>
      </c>
      <c r="AC3" s="33">
        <v>18075</v>
      </c>
      <c r="AD3" s="31">
        <v>4590</v>
      </c>
      <c r="AE3" s="99">
        <f>AD3-AB3</f>
        <v>-11678</v>
      </c>
      <c r="AF3" s="99" t="s">
        <v>274</v>
      </c>
      <c r="AG3" s="99">
        <f>AD3*0.05</f>
        <v>229.5</v>
      </c>
      <c r="AH3" s="99">
        <f>AE3*0.04</f>
        <v>-467.12</v>
      </c>
      <c r="AI3" s="31">
        <f>ROUND(K3+R3+Z3+AG3,0)</f>
        <v>544</v>
      </c>
      <c r="AJ3" s="31">
        <f>ROUND(L3+S3+AA3+AH3,0)</f>
        <v>-626</v>
      </c>
    </row>
    <row r="4" spans="1:36">
      <c r="A4" s="89">
        <v>2</v>
      </c>
      <c r="B4" s="89">
        <v>581</v>
      </c>
      <c r="C4" s="21" t="s">
        <v>94</v>
      </c>
      <c r="D4" s="89" t="s">
        <v>95</v>
      </c>
      <c r="E4" s="89" t="s">
        <v>93</v>
      </c>
      <c r="F4" s="89">
        <v>21</v>
      </c>
      <c r="G4" s="89">
        <v>23</v>
      </c>
      <c r="H4" s="89">
        <f>VLOOKUP(B:B,'[4]SQL Results'!$B$1:$L$65536,11,0)</f>
        <v>1</v>
      </c>
      <c r="I4" s="89">
        <f t="shared" ref="I4:I35" si="0">H4-F4</f>
        <v>-20</v>
      </c>
      <c r="J4" s="89" t="s">
        <v>274</v>
      </c>
      <c r="K4" s="89">
        <f>H4*1</f>
        <v>1</v>
      </c>
      <c r="L4" s="89">
        <f>I4*1</f>
        <v>-20</v>
      </c>
      <c r="M4" s="89">
        <v>222</v>
      </c>
      <c r="N4" s="33">
        <v>247</v>
      </c>
      <c r="O4" s="33">
        <v>169</v>
      </c>
      <c r="P4" s="33">
        <f>O4-M4</f>
        <v>-53</v>
      </c>
      <c r="Q4" s="33" t="s">
        <v>274</v>
      </c>
      <c r="R4" s="33">
        <f>O4*0.8</f>
        <v>135.2</v>
      </c>
      <c r="S4" s="33">
        <f>P4*0.6</f>
        <v>-31.8</v>
      </c>
      <c r="T4" s="33">
        <v>8</v>
      </c>
      <c r="U4" s="33">
        <v>9</v>
      </c>
      <c r="V4" s="33">
        <f>VLOOKUP(B:B,'[4]SQL Results'!$B$1:$Q$65536,16,0)</f>
        <v>17</v>
      </c>
      <c r="W4" s="33">
        <f>VLOOKUP(B:B,'[4]SQL Results'!$B$1:$P$65536,15,0)</f>
        <v>3804.52</v>
      </c>
      <c r="X4" s="33">
        <f t="shared" ref="X4:X35" si="1">V4-T4</f>
        <v>9</v>
      </c>
      <c r="Y4" s="33" t="s">
        <v>21</v>
      </c>
      <c r="Z4" s="33">
        <f>W4*0.1</f>
        <v>380.452</v>
      </c>
      <c r="AA4" s="33"/>
      <c r="AB4" s="33">
        <v>3597</v>
      </c>
      <c r="AC4" s="33">
        <v>3997</v>
      </c>
      <c r="AD4" s="31">
        <v>2878.05</v>
      </c>
      <c r="AE4" s="99">
        <f t="shared" ref="AE4:AE35" si="2">AD4-AB4</f>
        <v>-718.95</v>
      </c>
      <c r="AF4" s="99" t="s">
        <v>274</v>
      </c>
      <c r="AG4" s="99">
        <f>AD4*0.05</f>
        <v>143.9025</v>
      </c>
      <c r="AH4" s="99">
        <f>AE4*0.04</f>
        <v>-28.758</v>
      </c>
      <c r="AI4" s="31">
        <f t="shared" ref="AI4:AI35" si="3">ROUND(K4+R4+Z4+AG4,0)</f>
        <v>661</v>
      </c>
      <c r="AJ4" s="31">
        <f t="shared" ref="AJ4:AJ35" si="4">ROUND(L4+S4+AA4+AH4,0)</f>
        <v>-81</v>
      </c>
    </row>
    <row r="5" s="79" customFormat="1" spans="1:36">
      <c r="A5" s="89">
        <v>3</v>
      </c>
      <c r="B5" s="89">
        <v>582</v>
      </c>
      <c r="C5" s="21" t="s">
        <v>96</v>
      </c>
      <c r="D5" s="89" t="s">
        <v>92</v>
      </c>
      <c r="E5" s="89" t="s">
        <v>93</v>
      </c>
      <c r="F5" s="89">
        <v>24</v>
      </c>
      <c r="G5" s="89">
        <v>27</v>
      </c>
      <c r="H5" s="89">
        <f>VLOOKUP(B:B,'[4]SQL Results'!$B$1:$L$65536,11,0)</f>
        <v>22</v>
      </c>
      <c r="I5" s="89">
        <f t="shared" si="0"/>
        <v>-2</v>
      </c>
      <c r="J5" s="89" t="s">
        <v>274</v>
      </c>
      <c r="K5" s="89">
        <f t="shared" ref="K5:K10" si="5">H5*1</f>
        <v>22</v>
      </c>
      <c r="L5" s="89">
        <f t="shared" ref="L5:L10" si="6">I5*1</f>
        <v>-2</v>
      </c>
      <c r="M5" s="89">
        <v>78</v>
      </c>
      <c r="N5" s="33">
        <v>87</v>
      </c>
      <c r="O5" s="33">
        <v>137</v>
      </c>
      <c r="P5" s="33">
        <f>O5-M5</f>
        <v>59</v>
      </c>
      <c r="Q5" s="33" t="s">
        <v>21</v>
      </c>
      <c r="R5" s="33">
        <f>O5*2.5</f>
        <v>342.5</v>
      </c>
      <c r="S5" s="33"/>
      <c r="T5" s="33">
        <v>18</v>
      </c>
      <c r="U5" s="33">
        <v>20</v>
      </c>
      <c r="V5" s="33">
        <f>VLOOKUP(B:B,'[4]SQL Results'!$B$1:$Q$65536,16,0)</f>
        <v>58</v>
      </c>
      <c r="W5" s="33">
        <f>VLOOKUP(B:B,'[4]SQL Results'!$B$1:$P$65536,15,0)</f>
        <v>15165.72</v>
      </c>
      <c r="X5" s="33">
        <f t="shared" si="1"/>
        <v>40</v>
      </c>
      <c r="Y5" s="33" t="s">
        <v>21</v>
      </c>
      <c r="Z5" s="33">
        <f t="shared" ref="Z5:Z13" si="7">W5*0.1</f>
        <v>1516.572</v>
      </c>
      <c r="AA5" s="33"/>
      <c r="AB5" s="33">
        <v>7244</v>
      </c>
      <c r="AC5" s="33">
        <v>8049</v>
      </c>
      <c r="AD5" s="31">
        <v>7575.61</v>
      </c>
      <c r="AE5" s="99">
        <f t="shared" si="2"/>
        <v>331.61</v>
      </c>
      <c r="AF5" s="99" t="s">
        <v>20</v>
      </c>
      <c r="AG5" s="99">
        <f>AD5*0.07</f>
        <v>530.2927</v>
      </c>
      <c r="AH5" s="99"/>
      <c r="AI5" s="31">
        <f t="shared" si="3"/>
        <v>2411</v>
      </c>
      <c r="AJ5" s="31">
        <f t="shared" si="4"/>
        <v>-2</v>
      </c>
    </row>
    <row r="6" spans="1:36">
      <c r="A6" s="89">
        <v>4</v>
      </c>
      <c r="B6" s="89">
        <v>359</v>
      </c>
      <c r="C6" s="21" t="s">
        <v>97</v>
      </c>
      <c r="D6" s="89" t="s">
        <v>95</v>
      </c>
      <c r="E6" s="89" t="s">
        <v>93</v>
      </c>
      <c r="F6" s="89">
        <v>16</v>
      </c>
      <c r="G6" s="89">
        <v>18</v>
      </c>
      <c r="H6" s="89">
        <f>VLOOKUP(B:B,'[4]SQL Results'!$B$1:$L$65536,11,0)</f>
        <v>7</v>
      </c>
      <c r="I6" s="89">
        <f t="shared" si="0"/>
        <v>-9</v>
      </c>
      <c r="J6" s="89" t="s">
        <v>274</v>
      </c>
      <c r="K6" s="89">
        <f t="shared" si="5"/>
        <v>7</v>
      </c>
      <c r="L6" s="89">
        <f t="shared" si="6"/>
        <v>-9</v>
      </c>
      <c r="M6" s="89">
        <v>135</v>
      </c>
      <c r="N6" s="33">
        <v>150</v>
      </c>
      <c r="O6" s="33">
        <v>91</v>
      </c>
      <c r="P6" s="33">
        <f>O6-M6</f>
        <v>-44</v>
      </c>
      <c r="Q6" s="33" t="s">
        <v>274</v>
      </c>
      <c r="R6" s="33">
        <f>O6*0.8</f>
        <v>72.8</v>
      </c>
      <c r="S6" s="33">
        <f>P6*0.6</f>
        <v>-26.4</v>
      </c>
      <c r="T6" s="33">
        <v>14</v>
      </c>
      <c r="U6" s="33">
        <v>15</v>
      </c>
      <c r="V6" s="33">
        <f>VLOOKUP(B:B,'[4]SQL Results'!$B$1:$Q$65536,16,0)</f>
        <v>16</v>
      </c>
      <c r="W6" s="33">
        <f>VLOOKUP(B:B,'[4]SQL Results'!$B$1:$P$65536,15,0)</f>
        <v>3120.02</v>
      </c>
      <c r="X6" s="33">
        <f t="shared" si="1"/>
        <v>2</v>
      </c>
      <c r="Y6" s="33" t="s">
        <v>21</v>
      </c>
      <c r="Z6" s="33">
        <f t="shared" si="7"/>
        <v>312.002</v>
      </c>
      <c r="AA6" s="33"/>
      <c r="AB6" s="33">
        <v>1521</v>
      </c>
      <c r="AC6" s="33">
        <v>1690</v>
      </c>
      <c r="AD6" s="31">
        <v>405</v>
      </c>
      <c r="AE6" s="99">
        <f t="shared" si="2"/>
        <v>-1116</v>
      </c>
      <c r="AF6" s="99" t="s">
        <v>274</v>
      </c>
      <c r="AG6" s="99">
        <f>AD6*0.05</f>
        <v>20.25</v>
      </c>
      <c r="AH6" s="99">
        <f>AE6*0.04</f>
        <v>-44.64</v>
      </c>
      <c r="AI6" s="31">
        <f t="shared" si="3"/>
        <v>412</v>
      </c>
      <c r="AJ6" s="31">
        <f t="shared" si="4"/>
        <v>-80</v>
      </c>
    </row>
    <row r="7" spans="1:36">
      <c r="A7" s="89">
        <v>5</v>
      </c>
      <c r="B7" s="89">
        <v>726</v>
      </c>
      <c r="C7" s="21" t="s">
        <v>98</v>
      </c>
      <c r="D7" s="89" t="s">
        <v>95</v>
      </c>
      <c r="E7" s="89" t="s">
        <v>93</v>
      </c>
      <c r="F7" s="89">
        <v>22</v>
      </c>
      <c r="G7" s="89">
        <v>24</v>
      </c>
      <c r="H7" s="89">
        <f>VLOOKUP(B:B,'[4]SQL Results'!$B$1:$L$65536,11,0)</f>
        <v>13</v>
      </c>
      <c r="I7" s="89">
        <f t="shared" si="0"/>
        <v>-9</v>
      </c>
      <c r="J7" s="89" t="s">
        <v>274</v>
      </c>
      <c r="K7" s="89">
        <f t="shared" si="5"/>
        <v>13</v>
      </c>
      <c r="L7" s="89">
        <f t="shared" si="6"/>
        <v>-9</v>
      </c>
      <c r="M7" s="89">
        <v>147</v>
      </c>
      <c r="N7" s="33">
        <v>163</v>
      </c>
      <c r="O7" s="33">
        <v>121</v>
      </c>
      <c r="P7" s="33">
        <f t="shared" ref="P7:P12" si="8">O7-M7</f>
        <v>-26</v>
      </c>
      <c r="Q7" s="33" t="s">
        <v>274</v>
      </c>
      <c r="R7" s="33">
        <f>O7*0.8</f>
        <v>96.8</v>
      </c>
      <c r="S7" s="33">
        <f>P7*0.6</f>
        <v>-15.6</v>
      </c>
      <c r="T7" s="33">
        <v>9</v>
      </c>
      <c r="U7" s="33">
        <v>10</v>
      </c>
      <c r="V7" s="33">
        <f>VLOOKUP(B:B,'[4]SQL Results'!$B$1:$Q$65536,16,0)</f>
        <v>13</v>
      </c>
      <c r="W7" s="33">
        <f>VLOOKUP(B:B,'[4]SQL Results'!$B$1:$P$65536,15,0)</f>
        <v>2727.88</v>
      </c>
      <c r="X7" s="33">
        <f t="shared" si="1"/>
        <v>4</v>
      </c>
      <c r="Y7" s="33" t="s">
        <v>21</v>
      </c>
      <c r="Z7" s="33">
        <f t="shared" si="7"/>
        <v>272.788</v>
      </c>
      <c r="AA7" s="33"/>
      <c r="AB7" s="33">
        <v>7549</v>
      </c>
      <c r="AC7" s="33">
        <v>8388</v>
      </c>
      <c r="AD7" s="31">
        <v>3217.72</v>
      </c>
      <c r="AE7" s="99">
        <f t="shared" si="2"/>
        <v>-4331.28</v>
      </c>
      <c r="AF7" s="99" t="s">
        <v>274</v>
      </c>
      <c r="AG7" s="99">
        <f>AD7*0.05</f>
        <v>160.886</v>
      </c>
      <c r="AH7" s="99">
        <f>AE7*0.04</f>
        <v>-173.2512</v>
      </c>
      <c r="AI7" s="31">
        <f t="shared" si="3"/>
        <v>543</v>
      </c>
      <c r="AJ7" s="31">
        <f t="shared" si="4"/>
        <v>-198</v>
      </c>
    </row>
    <row r="8" spans="1:36">
      <c r="A8" s="89">
        <v>6</v>
      </c>
      <c r="B8" s="89">
        <v>365</v>
      </c>
      <c r="C8" s="21" t="s">
        <v>99</v>
      </c>
      <c r="D8" s="89" t="s">
        <v>95</v>
      </c>
      <c r="E8" s="89" t="s">
        <v>93</v>
      </c>
      <c r="F8" s="89">
        <v>21</v>
      </c>
      <c r="G8" s="89">
        <v>23</v>
      </c>
      <c r="H8" s="89">
        <f>VLOOKUP(B:B,'[4]SQL Results'!$B$1:$L$65536,11,0)</f>
        <v>16</v>
      </c>
      <c r="I8" s="89">
        <f t="shared" si="0"/>
        <v>-5</v>
      </c>
      <c r="J8" s="89" t="s">
        <v>274</v>
      </c>
      <c r="K8" s="89">
        <f t="shared" si="5"/>
        <v>16</v>
      </c>
      <c r="L8" s="89">
        <f t="shared" si="6"/>
        <v>-5</v>
      </c>
      <c r="M8" s="89">
        <v>120</v>
      </c>
      <c r="N8" s="33">
        <v>133</v>
      </c>
      <c r="O8" s="33">
        <v>153</v>
      </c>
      <c r="P8" s="33">
        <f t="shared" si="8"/>
        <v>33</v>
      </c>
      <c r="Q8" s="33" t="s">
        <v>21</v>
      </c>
      <c r="R8" s="33">
        <f>O8*2.5</f>
        <v>382.5</v>
      </c>
      <c r="S8" s="33"/>
      <c r="T8" s="33">
        <v>20</v>
      </c>
      <c r="U8" s="33">
        <v>22</v>
      </c>
      <c r="V8" s="33">
        <f>VLOOKUP(B:B,'[4]SQL Results'!$B$1:$Q$65536,16,0)</f>
        <v>30</v>
      </c>
      <c r="W8" s="33">
        <f>VLOOKUP(B:B,'[4]SQL Results'!$B$1:$P$65536,15,0)</f>
        <v>7963</v>
      </c>
      <c r="X8" s="33">
        <f t="shared" si="1"/>
        <v>10</v>
      </c>
      <c r="Y8" s="33" t="s">
        <v>21</v>
      </c>
      <c r="Z8" s="33">
        <f t="shared" si="7"/>
        <v>796.3</v>
      </c>
      <c r="AA8" s="33"/>
      <c r="AB8" s="33">
        <v>1073</v>
      </c>
      <c r="AC8" s="33">
        <v>1192</v>
      </c>
      <c r="AD8" s="31">
        <v>7901.05</v>
      </c>
      <c r="AE8" s="99">
        <f t="shared" si="2"/>
        <v>6828.05</v>
      </c>
      <c r="AF8" s="99" t="s">
        <v>21</v>
      </c>
      <c r="AG8" s="99">
        <f>AD8*0.09</f>
        <v>711.0945</v>
      </c>
      <c r="AH8" s="99"/>
      <c r="AI8" s="31">
        <f t="shared" si="3"/>
        <v>1906</v>
      </c>
      <c r="AJ8" s="31">
        <f t="shared" si="4"/>
        <v>-5</v>
      </c>
    </row>
    <row r="9" spans="1:36">
      <c r="A9" s="89">
        <v>7</v>
      </c>
      <c r="B9" s="89">
        <v>513</v>
      </c>
      <c r="C9" s="21" t="s">
        <v>100</v>
      </c>
      <c r="D9" s="89" t="s">
        <v>95</v>
      </c>
      <c r="E9" s="89" t="s">
        <v>93</v>
      </c>
      <c r="F9" s="89">
        <v>16</v>
      </c>
      <c r="G9" s="89">
        <v>18</v>
      </c>
      <c r="H9" s="89">
        <f>VLOOKUP(B:B,'[4]SQL Results'!$B$1:$L$65536,11,0)</f>
        <v>13</v>
      </c>
      <c r="I9" s="89">
        <f t="shared" si="0"/>
        <v>-3</v>
      </c>
      <c r="J9" s="89" t="s">
        <v>274</v>
      </c>
      <c r="K9" s="89">
        <f t="shared" si="5"/>
        <v>13</v>
      </c>
      <c r="L9" s="89">
        <f t="shared" si="6"/>
        <v>-3</v>
      </c>
      <c r="M9" s="89">
        <v>131</v>
      </c>
      <c r="N9" s="33">
        <v>145</v>
      </c>
      <c r="O9" s="33">
        <v>131</v>
      </c>
      <c r="P9" s="33">
        <f t="shared" si="8"/>
        <v>0</v>
      </c>
      <c r="Q9" s="33" t="s">
        <v>20</v>
      </c>
      <c r="R9" s="33">
        <f>O9*1.5</f>
        <v>196.5</v>
      </c>
      <c r="S9" s="33"/>
      <c r="T9" s="33">
        <v>5</v>
      </c>
      <c r="U9" s="33">
        <v>5</v>
      </c>
      <c r="V9" s="33">
        <f>VLOOKUP(B:B,'[4]SQL Results'!$B$1:$Q$65536,16,0)</f>
        <v>11</v>
      </c>
      <c r="W9" s="33">
        <f>VLOOKUP(B:B,'[4]SQL Results'!$B$1:$P$65536,15,0)</f>
        <v>2162.9</v>
      </c>
      <c r="X9" s="33">
        <f t="shared" si="1"/>
        <v>6</v>
      </c>
      <c r="Y9" s="33" t="s">
        <v>21</v>
      </c>
      <c r="Z9" s="33">
        <f t="shared" si="7"/>
        <v>216.29</v>
      </c>
      <c r="AA9" s="33"/>
      <c r="AB9" s="33">
        <v>3011</v>
      </c>
      <c r="AC9" s="33">
        <v>3345</v>
      </c>
      <c r="AD9" s="31">
        <v>1192.5</v>
      </c>
      <c r="AE9" s="99">
        <f t="shared" si="2"/>
        <v>-1818.5</v>
      </c>
      <c r="AF9" s="99" t="s">
        <v>274</v>
      </c>
      <c r="AG9" s="99">
        <f>AD9*0.05</f>
        <v>59.625</v>
      </c>
      <c r="AH9" s="99">
        <f>AE9*0.04</f>
        <v>-72.74</v>
      </c>
      <c r="AI9" s="31">
        <f t="shared" si="3"/>
        <v>485</v>
      </c>
      <c r="AJ9" s="31">
        <f t="shared" si="4"/>
        <v>-76</v>
      </c>
    </row>
    <row r="10" spans="1:36">
      <c r="A10" s="89">
        <v>8</v>
      </c>
      <c r="B10" s="89">
        <v>730</v>
      </c>
      <c r="C10" s="21" t="s">
        <v>101</v>
      </c>
      <c r="D10" s="89" t="s">
        <v>95</v>
      </c>
      <c r="E10" s="89" t="s">
        <v>93</v>
      </c>
      <c r="F10" s="89">
        <v>22</v>
      </c>
      <c r="G10" s="89">
        <v>24</v>
      </c>
      <c r="H10" s="89">
        <f>VLOOKUP(B:B,'[4]SQL Results'!$B$1:$L$65536,11,0)</f>
        <v>17</v>
      </c>
      <c r="I10" s="89">
        <f t="shared" si="0"/>
        <v>-5</v>
      </c>
      <c r="J10" s="89" t="s">
        <v>274</v>
      </c>
      <c r="K10" s="89">
        <f t="shared" si="5"/>
        <v>17</v>
      </c>
      <c r="L10" s="89">
        <f t="shared" si="6"/>
        <v>-5</v>
      </c>
      <c r="M10" s="89">
        <v>87</v>
      </c>
      <c r="N10" s="33">
        <v>97</v>
      </c>
      <c r="O10" s="33">
        <v>146</v>
      </c>
      <c r="P10" s="33">
        <f t="shared" si="8"/>
        <v>59</v>
      </c>
      <c r="Q10" s="33" t="s">
        <v>21</v>
      </c>
      <c r="R10" s="33">
        <f>O10*2.5</f>
        <v>365</v>
      </c>
      <c r="S10" s="33"/>
      <c r="T10" s="33">
        <v>6</v>
      </c>
      <c r="U10" s="33">
        <v>7</v>
      </c>
      <c r="V10" s="33">
        <f>VLOOKUP(B:B,'[4]SQL Results'!$B$1:$Q$65536,16,0)</f>
        <v>27</v>
      </c>
      <c r="W10" s="33">
        <f>VLOOKUP(B:B,'[4]SQL Results'!$B$1:$P$65536,15,0)</f>
        <v>5837.91</v>
      </c>
      <c r="X10" s="33">
        <f t="shared" si="1"/>
        <v>21</v>
      </c>
      <c r="Y10" s="33" t="s">
        <v>21</v>
      </c>
      <c r="Z10" s="33">
        <f t="shared" si="7"/>
        <v>583.791</v>
      </c>
      <c r="AA10" s="33"/>
      <c r="AB10" s="33">
        <v>6427</v>
      </c>
      <c r="AC10" s="33">
        <v>7141</v>
      </c>
      <c r="AD10" s="31">
        <v>10381</v>
      </c>
      <c r="AE10" s="99">
        <f t="shared" si="2"/>
        <v>3954</v>
      </c>
      <c r="AF10" s="99" t="s">
        <v>21</v>
      </c>
      <c r="AG10" s="99">
        <f>AD10*0.09</f>
        <v>934.29</v>
      </c>
      <c r="AH10" s="99"/>
      <c r="AI10" s="31">
        <f t="shared" si="3"/>
        <v>1900</v>
      </c>
      <c r="AJ10" s="31">
        <f t="shared" si="4"/>
        <v>-5</v>
      </c>
    </row>
    <row r="11" spans="1:36">
      <c r="A11" s="89">
        <v>9</v>
      </c>
      <c r="B11" s="89">
        <v>585</v>
      </c>
      <c r="C11" s="21" t="s">
        <v>102</v>
      </c>
      <c r="D11" s="89" t="s">
        <v>95</v>
      </c>
      <c r="E11" s="89" t="s">
        <v>93</v>
      </c>
      <c r="F11" s="89">
        <v>21</v>
      </c>
      <c r="G11" s="89">
        <v>23</v>
      </c>
      <c r="H11" s="89">
        <f>VLOOKUP(B:B,'[4]SQL Results'!$B$1:$L$65536,11,0)</f>
        <v>23</v>
      </c>
      <c r="I11" s="89">
        <f t="shared" si="0"/>
        <v>2</v>
      </c>
      <c r="J11" s="89" t="s">
        <v>21</v>
      </c>
      <c r="K11" s="89">
        <f>H11*3.5</f>
        <v>80.5</v>
      </c>
      <c r="L11" s="89"/>
      <c r="M11" s="89">
        <v>158</v>
      </c>
      <c r="N11" s="33">
        <v>175</v>
      </c>
      <c r="O11" s="33">
        <v>262</v>
      </c>
      <c r="P11" s="33">
        <f t="shared" si="8"/>
        <v>104</v>
      </c>
      <c r="Q11" s="33" t="s">
        <v>21</v>
      </c>
      <c r="R11" s="33">
        <f>O11*2.5</f>
        <v>655</v>
      </c>
      <c r="S11" s="33"/>
      <c r="T11" s="33">
        <v>22</v>
      </c>
      <c r="U11" s="33">
        <v>24</v>
      </c>
      <c r="V11" s="33">
        <f>VLOOKUP(B:B,'[4]SQL Results'!$B$1:$Q$65536,16,0)</f>
        <v>33</v>
      </c>
      <c r="W11" s="33">
        <f>VLOOKUP(B:B,'[4]SQL Results'!$B$1:$P$65536,15,0)</f>
        <v>8190.68</v>
      </c>
      <c r="X11" s="33">
        <f t="shared" si="1"/>
        <v>11</v>
      </c>
      <c r="Y11" s="33" t="s">
        <v>21</v>
      </c>
      <c r="Z11" s="33">
        <f t="shared" si="7"/>
        <v>819.068</v>
      </c>
      <c r="AA11" s="33"/>
      <c r="AB11" s="33">
        <v>3758</v>
      </c>
      <c r="AC11" s="33">
        <v>4175</v>
      </c>
      <c r="AD11" s="31">
        <v>5231.44</v>
      </c>
      <c r="AE11" s="99">
        <f t="shared" si="2"/>
        <v>1473.44</v>
      </c>
      <c r="AF11" s="99" t="s">
        <v>21</v>
      </c>
      <c r="AG11" s="99">
        <f>AD11*0.09</f>
        <v>470.8296</v>
      </c>
      <c r="AH11" s="99"/>
      <c r="AI11" s="31">
        <f t="shared" si="3"/>
        <v>2025</v>
      </c>
      <c r="AJ11" s="31">
        <f t="shared" si="4"/>
        <v>0</v>
      </c>
    </row>
    <row r="12" spans="1:36">
      <c r="A12" s="89">
        <v>10</v>
      </c>
      <c r="B12" s="89">
        <v>709</v>
      </c>
      <c r="C12" s="21" t="s">
        <v>103</v>
      </c>
      <c r="D12" s="89" t="s">
        <v>104</v>
      </c>
      <c r="E12" s="89" t="s">
        <v>93</v>
      </c>
      <c r="F12" s="89">
        <v>18</v>
      </c>
      <c r="G12" s="89">
        <v>20</v>
      </c>
      <c r="H12" s="89">
        <f>VLOOKUP(B:B,'[4]SQL Results'!$B$1:$L$65536,11,0)</f>
        <v>21</v>
      </c>
      <c r="I12" s="89">
        <f t="shared" si="0"/>
        <v>3</v>
      </c>
      <c r="J12" s="89" t="s">
        <v>21</v>
      </c>
      <c r="K12" s="89">
        <f>H12*3.5</f>
        <v>73.5</v>
      </c>
      <c r="L12" s="89"/>
      <c r="M12" s="89">
        <v>82</v>
      </c>
      <c r="N12" s="33">
        <v>91</v>
      </c>
      <c r="O12" s="33">
        <v>135</v>
      </c>
      <c r="P12" s="33">
        <f t="shared" si="8"/>
        <v>53</v>
      </c>
      <c r="Q12" s="33" t="s">
        <v>21</v>
      </c>
      <c r="R12" s="33">
        <f>O12*2.5</f>
        <v>337.5</v>
      </c>
      <c r="S12" s="33"/>
      <c r="T12" s="33">
        <v>15</v>
      </c>
      <c r="U12" s="33">
        <v>17</v>
      </c>
      <c r="V12" s="33">
        <f>VLOOKUP(B:B,'[4]SQL Results'!$B$1:$Q$65536,16,0)</f>
        <v>21</v>
      </c>
      <c r="W12" s="33">
        <f>VLOOKUP(B:B,'[4]SQL Results'!$B$1:$P$65536,15,0)</f>
        <v>4477.5</v>
      </c>
      <c r="X12" s="33">
        <f t="shared" si="1"/>
        <v>6</v>
      </c>
      <c r="Y12" s="33" t="s">
        <v>21</v>
      </c>
      <c r="Z12" s="33">
        <f t="shared" si="7"/>
        <v>447.75</v>
      </c>
      <c r="AA12" s="33"/>
      <c r="AB12" s="33">
        <v>3168</v>
      </c>
      <c r="AC12" s="33">
        <v>3520</v>
      </c>
      <c r="AD12" s="31">
        <v>3187</v>
      </c>
      <c r="AE12" s="99">
        <f t="shared" si="2"/>
        <v>19</v>
      </c>
      <c r="AF12" s="99" t="s">
        <v>20</v>
      </c>
      <c r="AG12" s="99">
        <f>AD12*0.07</f>
        <v>223.09</v>
      </c>
      <c r="AH12" s="99"/>
      <c r="AI12" s="31">
        <f t="shared" si="3"/>
        <v>1082</v>
      </c>
      <c r="AJ12" s="31">
        <f t="shared" si="4"/>
        <v>0</v>
      </c>
    </row>
    <row r="13" spans="1:36">
      <c r="A13" s="89">
        <v>11</v>
      </c>
      <c r="B13" s="89">
        <v>379</v>
      </c>
      <c r="C13" s="21" t="s">
        <v>105</v>
      </c>
      <c r="D13" s="89" t="s">
        <v>104</v>
      </c>
      <c r="E13" s="89" t="s">
        <v>93</v>
      </c>
      <c r="F13" s="89">
        <v>17</v>
      </c>
      <c r="G13" s="89">
        <v>19</v>
      </c>
      <c r="H13" s="89">
        <f>VLOOKUP(B:B,'[4]SQL Results'!$B$1:$L$65536,11,0)</f>
        <v>1</v>
      </c>
      <c r="I13" s="89">
        <f t="shared" si="0"/>
        <v>-16</v>
      </c>
      <c r="J13" s="89" t="s">
        <v>274</v>
      </c>
      <c r="K13" s="89">
        <f>H13*1</f>
        <v>1</v>
      </c>
      <c r="L13" s="89">
        <f>I13*1</f>
        <v>-16</v>
      </c>
      <c r="M13" s="89">
        <v>81</v>
      </c>
      <c r="N13" s="33">
        <v>90</v>
      </c>
      <c r="O13" s="33">
        <v>109</v>
      </c>
      <c r="P13" s="33">
        <f t="shared" ref="P13:P44" si="9">O13-M13</f>
        <v>28</v>
      </c>
      <c r="Q13" s="33" t="s">
        <v>21</v>
      </c>
      <c r="R13" s="33">
        <f>O13*2.5</f>
        <v>272.5</v>
      </c>
      <c r="S13" s="33"/>
      <c r="T13" s="33">
        <v>11</v>
      </c>
      <c r="U13" s="33">
        <v>12</v>
      </c>
      <c r="V13" s="33">
        <f>VLOOKUP(B:B,'[4]SQL Results'!$B$1:$Q$65536,16,0)</f>
        <v>15</v>
      </c>
      <c r="W13" s="33">
        <f>VLOOKUP(B:B,'[4]SQL Results'!$B$1:$P$65536,15,0)</f>
        <v>3471.73</v>
      </c>
      <c r="X13" s="33">
        <f t="shared" si="1"/>
        <v>4</v>
      </c>
      <c r="Y13" s="33" t="s">
        <v>21</v>
      </c>
      <c r="Z13" s="33">
        <f t="shared" si="7"/>
        <v>347.173</v>
      </c>
      <c r="AA13" s="33"/>
      <c r="AB13" s="33">
        <v>3398</v>
      </c>
      <c r="AC13" s="33">
        <v>3776</v>
      </c>
      <c r="AD13" s="31">
        <v>1688.5</v>
      </c>
      <c r="AE13" s="99">
        <f t="shared" si="2"/>
        <v>-1709.5</v>
      </c>
      <c r="AF13" s="99" t="s">
        <v>274</v>
      </c>
      <c r="AG13" s="99">
        <f>AD13*0.05</f>
        <v>84.425</v>
      </c>
      <c r="AH13" s="99">
        <f>AE13*0.04</f>
        <v>-68.38</v>
      </c>
      <c r="AI13" s="31">
        <f t="shared" si="3"/>
        <v>705</v>
      </c>
      <c r="AJ13" s="31">
        <f t="shared" si="4"/>
        <v>-84</v>
      </c>
    </row>
    <row r="14" spans="1:36">
      <c r="A14" s="89">
        <v>12</v>
      </c>
      <c r="B14" s="89">
        <v>745</v>
      </c>
      <c r="C14" s="21" t="s">
        <v>106</v>
      </c>
      <c r="D14" s="89" t="s">
        <v>107</v>
      </c>
      <c r="E14" s="89" t="s">
        <v>93</v>
      </c>
      <c r="F14" s="89">
        <v>10</v>
      </c>
      <c r="G14" s="89">
        <v>11</v>
      </c>
      <c r="H14" s="89">
        <v>0</v>
      </c>
      <c r="I14" s="89">
        <f t="shared" si="0"/>
        <v>-10</v>
      </c>
      <c r="J14" s="89" t="s">
        <v>274</v>
      </c>
      <c r="K14" s="89"/>
      <c r="L14" s="89">
        <f>I14*1</f>
        <v>-10</v>
      </c>
      <c r="M14" s="89">
        <v>87</v>
      </c>
      <c r="N14" s="33">
        <v>97</v>
      </c>
      <c r="O14" s="33">
        <v>87</v>
      </c>
      <c r="P14" s="33">
        <f t="shared" si="9"/>
        <v>0</v>
      </c>
      <c r="Q14" s="33" t="s">
        <v>20</v>
      </c>
      <c r="R14" s="33">
        <f>O14*1.5</f>
        <v>130.5</v>
      </c>
      <c r="S14" s="33"/>
      <c r="T14" s="33">
        <v>14</v>
      </c>
      <c r="U14" s="33">
        <v>15</v>
      </c>
      <c r="V14" s="33">
        <f>VLOOKUP(B:B,'[4]SQL Results'!$B$1:$Q$65536,16,0)</f>
        <v>13</v>
      </c>
      <c r="W14" s="33">
        <f>VLOOKUP(B:B,'[4]SQL Results'!$B$1:$P$65536,15,0)</f>
        <v>3314.65</v>
      </c>
      <c r="X14" s="33">
        <f t="shared" si="1"/>
        <v>-1</v>
      </c>
      <c r="Y14" s="33" t="s">
        <v>274</v>
      </c>
      <c r="Z14" s="33">
        <f>W14*0.05</f>
        <v>165.7325</v>
      </c>
      <c r="AA14" s="33">
        <f>X14*8</f>
        <v>-8</v>
      </c>
      <c r="AB14" s="33">
        <v>1184</v>
      </c>
      <c r="AC14" s="33">
        <v>1316</v>
      </c>
      <c r="AD14" s="31">
        <v>387</v>
      </c>
      <c r="AE14" s="99">
        <f t="shared" si="2"/>
        <v>-797</v>
      </c>
      <c r="AF14" s="99" t="s">
        <v>274</v>
      </c>
      <c r="AG14" s="99">
        <f>AD14*0.05</f>
        <v>19.35</v>
      </c>
      <c r="AH14" s="99">
        <f>AE14*0.04</f>
        <v>-31.88</v>
      </c>
      <c r="AI14" s="31">
        <f t="shared" si="3"/>
        <v>316</v>
      </c>
      <c r="AJ14" s="31">
        <f t="shared" si="4"/>
        <v>-50</v>
      </c>
    </row>
    <row r="15" spans="1:36">
      <c r="A15" s="89">
        <v>13</v>
      </c>
      <c r="B15" s="89">
        <v>347</v>
      </c>
      <c r="C15" s="21" t="s">
        <v>108</v>
      </c>
      <c r="D15" s="89" t="s">
        <v>109</v>
      </c>
      <c r="E15" s="89" t="s">
        <v>93</v>
      </c>
      <c r="F15" s="89">
        <v>10</v>
      </c>
      <c r="G15" s="89">
        <v>11</v>
      </c>
      <c r="H15" s="89">
        <v>0</v>
      </c>
      <c r="I15" s="89">
        <f t="shared" si="0"/>
        <v>-10</v>
      </c>
      <c r="J15" s="89" t="s">
        <v>274</v>
      </c>
      <c r="K15" s="89"/>
      <c r="L15" s="89">
        <f>I15*1</f>
        <v>-10</v>
      </c>
      <c r="M15" s="89">
        <v>87</v>
      </c>
      <c r="N15" s="33">
        <v>97</v>
      </c>
      <c r="O15" s="33">
        <v>82</v>
      </c>
      <c r="P15" s="33">
        <f t="shared" si="9"/>
        <v>-5</v>
      </c>
      <c r="Q15" s="33" t="s">
        <v>274</v>
      </c>
      <c r="R15" s="33">
        <f>O15*0.8</f>
        <v>65.6</v>
      </c>
      <c r="S15" s="33">
        <f>P15*0.6</f>
        <v>-3</v>
      </c>
      <c r="T15" s="33">
        <v>13</v>
      </c>
      <c r="U15" s="33">
        <v>14</v>
      </c>
      <c r="V15" s="33">
        <f>VLOOKUP(B:B,'[4]SQL Results'!$B$1:$Q$65536,16,0)</f>
        <v>8</v>
      </c>
      <c r="W15" s="33">
        <f>VLOOKUP(B:B,'[4]SQL Results'!$B$1:$P$65536,15,0)</f>
        <v>1750</v>
      </c>
      <c r="X15" s="33">
        <f t="shared" si="1"/>
        <v>-5</v>
      </c>
      <c r="Y15" s="33" t="s">
        <v>274</v>
      </c>
      <c r="Z15" s="33">
        <f>W15*0.05</f>
        <v>87.5</v>
      </c>
      <c r="AA15" s="33">
        <f>X15*8</f>
        <v>-40</v>
      </c>
      <c r="AB15" s="33">
        <v>2869</v>
      </c>
      <c r="AC15" s="33">
        <v>3188</v>
      </c>
      <c r="AD15" s="31">
        <v>1055</v>
      </c>
      <c r="AE15" s="99">
        <f t="shared" si="2"/>
        <v>-1814</v>
      </c>
      <c r="AF15" s="99" t="s">
        <v>274</v>
      </c>
      <c r="AG15" s="99">
        <f>AD15*0.05</f>
        <v>52.75</v>
      </c>
      <c r="AH15" s="99">
        <f>AE15*0.04</f>
        <v>-72.56</v>
      </c>
      <c r="AI15" s="31">
        <f t="shared" si="3"/>
        <v>206</v>
      </c>
      <c r="AJ15" s="31">
        <f t="shared" si="4"/>
        <v>-126</v>
      </c>
    </row>
    <row r="16" spans="1:36">
      <c r="A16" s="89">
        <v>14</v>
      </c>
      <c r="B16" s="89">
        <v>727</v>
      </c>
      <c r="C16" s="21" t="s">
        <v>110</v>
      </c>
      <c r="D16" s="89" t="s">
        <v>107</v>
      </c>
      <c r="E16" s="89" t="s">
        <v>93</v>
      </c>
      <c r="F16" s="89">
        <v>4</v>
      </c>
      <c r="G16" s="89">
        <v>4</v>
      </c>
      <c r="H16" s="89">
        <v>0</v>
      </c>
      <c r="I16" s="89">
        <f t="shared" si="0"/>
        <v>-4</v>
      </c>
      <c r="J16" s="89" t="s">
        <v>274</v>
      </c>
      <c r="K16" s="89"/>
      <c r="L16" s="89">
        <f>I16*1</f>
        <v>-4</v>
      </c>
      <c r="M16" s="89">
        <v>59</v>
      </c>
      <c r="N16" s="33">
        <v>65</v>
      </c>
      <c r="O16" s="33">
        <v>70</v>
      </c>
      <c r="P16" s="33">
        <f t="shared" si="9"/>
        <v>11</v>
      </c>
      <c r="Q16" s="33" t="s">
        <v>21</v>
      </c>
      <c r="R16" s="33">
        <f>O16*2.5</f>
        <v>175</v>
      </c>
      <c r="S16" s="33"/>
      <c r="T16" s="33">
        <v>5</v>
      </c>
      <c r="U16" s="33">
        <v>5</v>
      </c>
      <c r="V16" s="33">
        <f>VLOOKUP(B:B,'[4]SQL Results'!$B$1:$Q$65536,16,0)</f>
        <v>12</v>
      </c>
      <c r="W16" s="33">
        <f>VLOOKUP(B:B,'[4]SQL Results'!$B$1:$P$65536,15,0)</f>
        <v>3398.52</v>
      </c>
      <c r="X16" s="33">
        <f t="shared" si="1"/>
        <v>7</v>
      </c>
      <c r="Y16" s="33" t="s">
        <v>21</v>
      </c>
      <c r="Z16" s="33">
        <f>W16*0.1</f>
        <v>339.852</v>
      </c>
      <c r="AA16" s="33"/>
      <c r="AB16" s="33">
        <v>3029</v>
      </c>
      <c r="AC16" s="33">
        <v>3366</v>
      </c>
      <c r="AD16" s="31">
        <v>995.35</v>
      </c>
      <c r="AE16" s="99">
        <f t="shared" si="2"/>
        <v>-2033.65</v>
      </c>
      <c r="AF16" s="99" t="s">
        <v>274</v>
      </c>
      <c r="AG16" s="99">
        <f>AD16*0.05</f>
        <v>49.7675</v>
      </c>
      <c r="AH16" s="99">
        <f>AE16*0.04</f>
        <v>-81.346</v>
      </c>
      <c r="AI16" s="31">
        <f t="shared" si="3"/>
        <v>565</v>
      </c>
      <c r="AJ16" s="31">
        <f t="shared" si="4"/>
        <v>-85</v>
      </c>
    </row>
    <row r="17" spans="1:36">
      <c r="A17" s="89">
        <v>15</v>
      </c>
      <c r="B17" s="89">
        <v>339</v>
      </c>
      <c r="C17" s="21" t="s">
        <v>111</v>
      </c>
      <c r="D17" s="89" t="s">
        <v>109</v>
      </c>
      <c r="E17" s="89" t="s">
        <v>93</v>
      </c>
      <c r="F17" s="89">
        <v>14</v>
      </c>
      <c r="G17" s="89">
        <v>15</v>
      </c>
      <c r="H17" s="89">
        <v>0</v>
      </c>
      <c r="I17" s="89">
        <f t="shared" si="0"/>
        <v>-14</v>
      </c>
      <c r="J17" s="89" t="s">
        <v>274</v>
      </c>
      <c r="K17" s="89"/>
      <c r="L17" s="89">
        <f>I17*1</f>
        <v>-14</v>
      </c>
      <c r="M17" s="89">
        <v>61</v>
      </c>
      <c r="N17" s="33">
        <v>68</v>
      </c>
      <c r="O17" s="33">
        <v>59</v>
      </c>
      <c r="P17" s="33">
        <f t="shared" si="9"/>
        <v>-2</v>
      </c>
      <c r="Q17" s="33" t="s">
        <v>274</v>
      </c>
      <c r="R17" s="33">
        <f>O17*0.8</f>
        <v>47.2</v>
      </c>
      <c r="S17" s="33">
        <f>P17*0.6</f>
        <v>-1.2</v>
      </c>
      <c r="T17" s="33">
        <v>10</v>
      </c>
      <c r="U17" s="33">
        <v>11</v>
      </c>
      <c r="V17" s="33">
        <f>VLOOKUP(B:B,'[4]SQL Results'!$B$1:$Q$65536,16,0)</f>
        <v>7</v>
      </c>
      <c r="W17" s="33">
        <f>VLOOKUP(B:B,'[4]SQL Results'!$B$1:$P$65536,15,0)</f>
        <v>1946.52</v>
      </c>
      <c r="X17" s="33">
        <f t="shared" si="1"/>
        <v>-3</v>
      </c>
      <c r="Y17" s="33" t="s">
        <v>274</v>
      </c>
      <c r="Z17" s="33">
        <f>W17*0.05</f>
        <v>97.326</v>
      </c>
      <c r="AA17" s="33">
        <f>X17*8</f>
        <v>-24</v>
      </c>
      <c r="AB17" s="33">
        <v>3342</v>
      </c>
      <c r="AC17" s="33">
        <v>3713</v>
      </c>
      <c r="AD17" s="31">
        <v>4647.06</v>
      </c>
      <c r="AE17" s="99">
        <f t="shared" si="2"/>
        <v>1305.06</v>
      </c>
      <c r="AF17" s="99" t="s">
        <v>21</v>
      </c>
      <c r="AG17" s="99">
        <f>AD17*0.09</f>
        <v>418.2354</v>
      </c>
      <c r="AH17" s="99"/>
      <c r="AI17" s="31">
        <f t="shared" si="3"/>
        <v>563</v>
      </c>
      <c r="AJ17" s="31">
        <f t="shared" si="4"/>
        <v>-39</v>
      </c>
    </row>
    <row r="18" spans="1:36">
      <c r="A18" s="89">
        <v>16</v>
      </c>
      <c r="B18" s="90">
        <v>752</v>
      </c>
      <c r="C18" s="21" t="s">
        <v>112</v>
      </c>
      <c r="D18" s="90" t="s">
        <v>113</v>
      </c>
      <c r="E18" s="90" t="s">
        <v>93</v>
      </c>
      <c r="F18" s="89">
        <v>4</v>
      </c>
      <c r="G18" s="89">
        <v>4</v>
      </c>
      <c r="H18" s="89">
        <f>VLOOKUP(B:B,'[4]SQL Results'!$B$1:$L$65536,11,0)</f>
        <v>6</v>
      </c>
      <c r="I18" s="89">
        <f t="shared" si="0"/>
        <v>2</v>
      </c>
      <c r="J18" s="89" t="s">
        <v>21</v>
      </c>
      <c r="K18" s="89">
        <f>H18*3.5</f>
        <v>21</v>
      </c>
      <c r="L18" s="89"/>
      <c r="M18" s="89">
        <v>32</v>
      </c>
      <c r="N18" s="33">
        <v>36</v>
      </c>
      <c r="O18" s="33">
        <v>52</v>
      </c>
      <c r="P18" s="33">
        <f t="shared" si="9"/>
        <v>20</v>
      </c>
      <c r="Q18" s="33" t="s">
        <v>21</v>
      </c>
      <c r="R18" s="33">
        <f>O18*2.5</f>
        <v>130</v>
      </c>
      <c r="S18" s="33"/>
      <c r="T18" s="33">
        <v>8</v>
      </c>
      <c r="U18" s="33">
        <v>9</v>
      </c>
      <c r="V18" s="33">
        <f>VLOOKUP(B:B,'[4]SQL Results'!$B$1:$Q$65536,16,0)</f>
        <v>1</v>
      </c>
      <c r="W18" s="33">
        <f>VLOOKUP(B:B,'[4]SQL Results'!$B$1:$P$65536,15,0)</f>
        <v>388</v>
      </c>
      <c r="X18" s="33">
        <f t="shared" si="1"/>
        <v>-7</v>
      </c>
      <c r="Y18" s="33" t="s">
        <v>274</v>
      </c>
      <c r="Z18" s="33">
        <f>W18*0.05</f>
        <v>19.4</v>
      </c>
      <c r="AA18" s="33">
        <f>X18*8</f>
        <v>-56</v>
      </c>
      <c r="AB18" s="33">
        <v>1515</v>
      </c>
      <c r="AC18" s="33">
        <v>1683</v>
      </c>
      <c r="AD18" s="31">
        <v>304.5</v>
      </c>
      <c r="AE18" s="99">
        <f t="shared" si="2"/>
        <v>-1210.5</v>
      </c>
      <c r="AF18" s="99" t="s">
        <v>274</v>
      </c>
      <c r="AG18" s="99">
        <f>AD18*0.05</f>
        <v>15.225</v>
      </c>
      <c r="AH18" s="99">
        <f>AE18*0.04</f>
        <v>-48.42</v>
      </c>
      <c r="AI18" s="31">
        <f t="shared" si="3"/>
        <v>186</v>
      </c>
      <c r="AJ18" s="31">
        <f t="shared" si="4"/>
        <v>-104</v>
      </c>
    </row>
    <row r="19" spans="1:36">
      <c r="A19" s="89">
        <v>17</v>
      </c>
      <c r="B19" s="89">
        <v>741</v>
      </c>
      <c r="C19" s="21" t="s">
        <v>114</v>
      </c>
      <c r="D19" s="89" t="s">
        <v>113</v>
      </c>
      <c r="E19" s="89" t="s">
        <v>93</v>
      </c>
      <c r="F19" s="89">
        <v>8</v>
      </c>
      <c r="G19" s="89">
        <v>9</v>
      </c>
      <c r="H19" s="89">
        <f>VLOOKUP(B:B,'[4]SQL Results'!$B$1:$L$65536,11,0)</f>
        <v>1</v>
      </c>
      <c r="I19" s="89">
        <f t="shared" si="0"/>
        <v>-7</v>
      </c>
      <c r="J19" s="89" t="s">
        <v>274</v>
      </c>
      <c r="K19" s="89">
        <f>H19*1</f>
        <v>1</v>
      </c>
      <c r="L19" s="89">
        <f>I19*1</f>
        <v>-7</v>
      </c>
      <c r="M19" s="89">
        <v>66</v>
      </c>
      <c r="N19" s="33">
        <v>73</v>
      </c>
      <c r="O19" s="33">
        <v>22</v>
      </c>
      <c r="P19" s="33">
        <f t="shared" si="9"/>
        <v>-44</v>
      </c>
      <c r="Q19" s="33" t="s">
        <v>274</v>
      </c>
      <c r="R19" s="33">
        <f>O19*0.8</f>
        <v>17.6</v>
      </c>
      <c r="S19" s="33">
        <f>P19*0.6</f>
        <v>-26.4</v>
      </c>
      <c r="T19" s="33">
        <v>5</v>
      </c>
      <c r="U19" s="33">
        <v>5</v>
      </c>
      <c r="V19" s="33">
        <f>VLOOKUP(B:B,'[4]SQL Results'!$B$1:$Q$65536,16,0)</f>
        <v>4</v>
      </c>
      <c r="W19" s="33">
        <f>VLOOKUP(B:B,'[4]SQL Results'!$B$1:$P$65536,15,0)</f>
        <v>396.01</v>
      </c>
      <c r="X19" s="33">
        <f t="shared" si="1"/>
        <v>-1</v>
      </c>
      <c r="Y19" s="33" t="s">
        <v>274</v>
      </c>
      <c r="Z19" s="33">
        <f>W19*0.05</f>
        <v>19.8005</v>
      </c>
      <c r="AA19" s="33">
        <f>X19*8</f>
        <v>-8</v>
      </c>
      <c r="AB19" s="33">
        <v>2054</v>
      </c>
      <c r="AC19" s="33">
        <v>2282</v>
      </c>
      <c r="AD19" s="31">
        <v>2354.82</v>
      </c>
      <c r="AE19" s="99">
        <f t="shared" si="2"/>
        <v>300.82</v>
      </c>
      <c r="AF19" s="99" t="s">
        <v>21</v>
      </c>
      <c r="AG19" s="99">
        <f>AD19*0.09</f>
        <v>211.9338</v>
      </c>
      <c r="AH19" s="99"/>
      <c r="AI19" s="31">
        <f t="shared" si="3"/>
        <v>250</v>
      </c>
      <c r="AJ19" s="31">
        <f t="shared" si="4"/>
        <v>-41</v>
      </c>
    </row>
    <row r="20" spans="1:36">
      <c r="A20" s="89">
        <v>18</v>
      </c>
      <c r="B20" s="89">
        <v>357</v>
      </c>
      <c r="C20" s="21" t="s">
        <v>115</v>
      </c>
      <c r="D20" s="89" t="s">
        <v>104</v>
      </c>
      <c r="E20" s="89" t="s">
        <v>93</v>
      </c>
      <c r="F20" s="89">
        <v>18</v>
      </c>
      <c r="G20" s="89">
        <v>20</v>
      </c>
      <c r="H20" s="89">
        <f>VLOOKUP(B:B,'[4]SQL Results'!$B$1:$L$65536,11,0)</f>
        <v>10</v>
      </c>
      <c r="I20" s="89">
        <f t="shared" si="0"/>
        <v>-8</v>
      </c>
      <c r="J20" s="89" t="s">
        <v>274</v>
      </c>
      <c r="K20" s="89">
        <f>H20*1</f>
        <v>10</v>
      </c>
      <c r="L20" s="89">
        <f>I20*1</f>
        <v>-8</v>
      </c>
      <c r="M20" s="89">
        <v>44</v>
      </c>
      <c r="N20" s="33">
        <v>49</v>
      </c>
      <c r="O20" s="33">
        <v>69</v>
      </c>
      <c r="P20" s="33">
        <f t="shared" si="9"/>
        <v>25</v>
      </c>
      <c r="Q20" s="33" t="s">
        <v>21</v>
      </c>
      <c r="R20" s="33">
        <f>O20*2.5</f>
        <v>172.5</v>
      </c>
      <c r="S20" s="33"/>
      <c r="T20" s="33">
        <v>9</v>
      </c>
      <c r="U20" s="33">
        <v>10</v>
      </c>
      <c r="V20" s="33">
        <f>VLOOKUP(B:B,'[4]SQL Results'!$B$1:$Q$65536,16,0)</f>
        <v>20</v>
      </c>
      <c r="W20" s="33">
        <f>VLOOKUP(B:B,'[4]SQL Results'!$B$1:$P$65536,15,0)</f>
        <v>4862</v>
      </c>
      <c r="X20" s="33">
        <f t="shared" si="1"/>
        <v>11</v>
      </c>
      <c r="Y20" s="33" t="s">
        <v>21</v>
      </c>
      <c r="Z20" s="33">
        <f t="shared" ref="Z20:Z30" si="10">W20*0.1</f>
        <v>486.2</v>
      </c>
      <c r="AA20" s="33"/>
      <c r="AB20" s="33">
        <v>2566</v>
      </c>
      <c r="AC20" s="33">
        <v>2851</v>
      </c>
      <c r="AD20" s="31">
        <v>5177.84</v>
      </c>
      <c r="AE20" s="99">
        <f t="shared" si="2"/>
        <v>2611.84</v>
      </c>
      <c r="AF20" s="99" t="s">
        <v>21</v>
      </c>
      <c r="AG20" s="99">
        <f>AD20*0.09</f>
        <v>466.0056</v>
      </c>
      <c r="AH20" s="99"/>
      <c r="AI20" s="31">
        <f t="shared" si="3"/>
        <v>1135</v>
      </c>
      <c r="AJ20" s="31">
        <f t="shared" si="4"/>
        <v>-8</v>
      </c>
    </row>
    <row r="21" spans="1:36">
      <c r="A21" s="89">
        <v>19</v>
      </c>
      <c r="B21" s="89">
        <v>570</v>
      </c>
      <c r="C21" s="21" t="s">
        <v>116</v>
      </c>
      <c r="D21" s="89" t="s">
        <v>107</v>
      </c>
      <c r="E21" s="89" t="s">
        <v>93</v>
      </c>
      <c r="F21" s="89">
        <v>14</v>
      </c>
      <c r="G21" s="89">
        <v>16</v>
      </c>
      <c r="H21" s="89">
        <f>VLOOKUP(B:B,'[4]SQL Results'!$B$1:$L$65536,11,0)</f>
        <v>10</v>
      </c>
      <c r="I21" s="89">
        <f t="shared" si="0"/>
        <v>-4</v>
      </c>
      <c r="J21" s="89" t="s">
        <v>274</v>
      </c>
      <c r="K21" s="89">
        <f>H21*1</f>
        <v>10</v>
      </c>
      <c r="L21" s="89">
        <f>I21*1</f>
        <v>-4</v>
      </c>
      <c r="M21" s="89">
        <v>58</v>
      </c>
      <c r="N21" s="33">
        <v>64</v>
      </c>
      <c r="O21" s="33">
        <v>94</v>
      </c>
      <c r="P21" s="33">
        <f t="shared" si="9"/>
        <v>36</v>
      </c>
      <c r="Q21" s="33" t="s">
        <v>21</v>
      </c>
      <c r="R21" s="33">
        <f>O21*2.5</f>
        <v>235</v>
      </c>
      <c r="S21" s="33"/>
      <c r="T21" s="33">
        <v>5</v>
      </c>
      <c r="U21" s="33">
        <v>5</v>
      </c>
      <c r="V21" s="33">
        <f>VLOOKUP(B:B,'[4]SQL Results'!$B$1:$Q$65536,16,0)</f>
        <v>8</v>
      </c>
      <c r="W21" s="33">
        <f>VLOOKUP(B:B,'[4]SQL Results'!$B$1:$P$65536,15,0)</f>
        <v>1841</v>
      </c>
      <c r="X21" s="33">
        <f t="shared" si="1"/>
        <v>3</v>
      </c>
      <c r="Y21" s="33" t="s">
        <v>21</v>
      </c>
      <c r="Z21" s="33">
        <f t="shared" si="10"/>
        <v>184.1</v>
      </c>
      <c r="AA21" s="33"/>
      <c r="AB21" s="33">
        <v>1544</v>
      </c>
      <c r="AC21" s="33">
        <v>1715</v>
      </c>
      <c r="AD21" s="31">
        <v>1307.84</v>
      </c>
      <c r="AE21" s="99">
        <f t="shared" si="2"/>
        <v>-236.16</v>
      </c>
      <c r="AF21" s="99" t="s">
        <v>274</v>
      </c>
      <c r="AG21" s="99">
        <f>AD21*0.05</f>
        <v>65.392</v>
      </c>
      <c r="AH21" s="99">
        <f>AE21*0.04</f>
        <v>-9.4464</v>
      </c>
      <c r="AI21" s="31">
        <f t="shared" si="3"/>
        <v>494</v>
      </c>
      <c r="AJ21" s="31">
        <f t="shared" si="4"/>
        <v>-13</v>
      </c>
    </row>
    <row r="22" spans="1:36">
      <c r="A22" s="89">
        <v>20</v>
      </c>
      <c r="B22" s="89">
        <v>311</v>
      </c>
      <c r="C22" s="21" t="s">
        <v>117</v>
      </c>
      <c r="D22" s="89" t="s">
        <v>107</v>
      </c>
      <c r="E22" s="89" t="s">
        <v>93</v>
      </c>
      <c r="F22" s="89">
        <v>13</v>
      </c>
      <c r="G22" s="89">
        <v>14</v>
      </c>
      <c r="H22" s="89">
        <f>VLOOKUP(B:B,'[4]SQL Results'!$B$1:$L$65536,11,0)</f>
        <v>37</v>
      </c>
      <c r="I22" s="89">
        <f t="shared" si="0"/>
        <v>24</v>
      </c>
      <c r="J22" s="89" t="s">
        <v>21</v>
      </c>
      <c r="K22" s="89">
        <f>H22*3.5</f>
        <v>129.5</v>
      </c>
      <c r="L22" s="89"/>
      <c r="M22" s="89">
        <v>24</v>
      </c>
      <c r="N22" s="33">
        <v>27</v>
      </c>
      <c r="O22" s="33">
        <v>18</v>
      </c>
      <c r="P22" s="33">
        <f t="shared" si="9"/>
        <v>-6</v>
      </c>
      <c r="Q22" s="33" t="s">
        <v>274</v>
      </c>
      <c r="R22" s="33">
        <f>O22*0.8</f>
        <v>14.4</v>
      </c>
      <c r="S22" s="33">
        <f>P22*0.6</f>
        <v>-3.6</v>
      </c>
      <c r="T22" s="33">
        <v>5</v>
      </c>
      <c r="U22" s="33">
        <v>5</v>
      </c>
      <c r="V22" s="33">
        <f>VLOOKUP(B:B,'[4]SQL Results'!$B$1:$Q$65536,16,0)</f>
        <v>10</v>
      </c>
      <c r="W22" s="33">
        <f>VLOOKUP(B:B,'[4]SQL Results'!$B$1:$P$65536,15,0)</f>
        <v>2661.16</v>
      </c>
      <c r="X22" s="33">
        <f t="shared" si="1"/>
        <v>5</v>
      </c>
      <c r="Y22" s="33" t="s">
        <v>21</v>
      </c>
      <c r="Z22" s="33">
        <f t="shared" si="10"/>
        <v>266.116</v>
      </c>
      <c r="AA22" s="33"/>
      <c r="AB22" s="33">
        <v>3438</v>
      </c>
      <c r="AC22" s="33">
        <v>3820</v>
      </c>
      <c r="AD22" s="31">
        <v>5339</v>
      </c>
      <c r="AE22" s="99">
        <f t="shared" si="2"/>
        <v>1901</v>
      </c>
      <c r="AF22" s="99" t="s">
        <v>21</v>
      </c>
      <c r="AG22" s="99">
        <f>AD22*0.09</f>
        <v>480.51</v>
      </c>
      <c r="AH22" s="99"/>
      <c r="AI22" s="31">
        <f t="shared" si="3"/>
        <v>891</v>
      </c>
      <c r="AJ22" s="31">
        <f t="shared" si="4"/>
        <v>-4</v>
      </c>
    </row>
    <row r="23" spans="1:36">
      <c r="A23" s="89">
        <v>21</v>
      </c>
      <c r="B23" s="91">
        <v>102565</v>
      </c>
      <c r="C23" s="21" t="s">
        <v>118</v>
      </c>
      <c r="D23" s="89" t="s">
        <v>109</v>
      </c>
      <c r="E23" s="89" t="s">
        <v>93</v>
      </c>
      <c r="F23" s="89">
        <v>4</v>
      </c>
      <c r="G23" s="89">
        <v>4</v>
      </c>
      <c r="H23" s="89">
        <f>VLOOKUP(B:B,'[4]SQL Results'!$B$1:$L$65536,11,0)</f>
        <v>6</v>
      </c>
      <c r="I23" s="89">
        <f t="shared" si="0"/>
        <v>2</v>
      </c>
      <c r="J23" s="89" t="s">
        <v>21</v>
      </c>
      <c r="K23" s="89">
        <f>H23*3.5</f>
        <v>21</v>
      </c>
      <c r="L23" s="89"/>
      <c r="M23" s="89">
        <v>60</v>
      </c>
      <c r="N23" s="33">
        <v>67</v>
      </c>
      <c r="O23" s="33">
        <v>99</v>
      </c>
      <c r="P23" s="33">
        <f t="shared" si="9"/>
        <v>39</v>
      </c>
      <c r="Q23" s="33" t="s">
        <v>21</v>
      </c>
      <c r="R23" s="33">
        <f>O23*2.5</f>
        <v>247.5</v>
      </c>
      <c r="S23" s="33"/>
      <c r="T23" s="33">
        <v>5</v>
      </c>
      <c r="U23" s="33">
        <v>5</v>
      </c>
      <c r="V23" s="33">
        <f>VLOOKUP(B:B,'[4]SQL Results'!$B$1:$Q$65536,16,0)</f>
        <v>10</v>
      </c>
      <c r="W23" s="33">
        <f>VLOOKUP(B:B,'[4]SQL Results'!$B$1:$P$65536,15,0)</f>
        <v>2616.02</v>
      </c>
      <c r="X23" s="33">
        <f t="shared" si="1"/>
        <v>5</v>
      </c>
      <c r="Y23" s="33" t="s">
        <v>21</v>
      </c>
      <c r="Z23" s="33">
        <f t="shared" si="10"/>
        <v>261.602</v>
      </c>
      <c r="AA23" s="33"/>
      <c r="AB23" s="33">
        <v>1378</v>
      </c>
      <c r="AC23" s="33">
        <v>1531</v>
      </c>
      <c r="AD23" s="31">
        <v>1104.38</v>
      </c>
      <c r="AE23" s="99">
        <f t="shared" si="2"/>
        <v>-273.62</v>
      </c>
      <c r="AF23" s="99" t="s">
        <v>274</v>
      </c>
      <c r="AG23" s="99">
        <f>AD23*0.05</f>
        <v>55.219</v>
      </c>
      <c r="AH23" s="99">
        <f>AE23*0.04</f>
        <v>-10.9448</v>
      </c>
      <c r="AI23" s="31">
        <f t="shared" si="3"/>
        <v>585</v>
      </c>
      <c r="AJ23" s="31">
        <f t="shared" si="4"/>
        <v>-11</v>
      </c>
    </row>
    <row r="24" spans="1:36">
      <c r="A24" s="89">
        <v>22</v>
      </c>
      <c r="B24" s="91">
        <v>103198</v>
      </c>
      <c r="C24" s="21" t="s">
        <v>119</v>
      </c>
      <c r="D24" s="89" t="s">
        <v>109</v>
      </c>
      <c r="E24" s="89" t="s">
        <v>93</v>
      </c>
      <c r="F24" s="89">
        <v>6</v>
      </c>
      <c r="G24" s="89">
        <v>7</v>
      </c>
      <c r="H24" s="89">
        <f>VLOOKUP(B:B,'[4]SQL Results'!$B$1:$L$65536,11,0)</f>
        <v>12</v>
      </c>
      <c r="I24" s="89">
        <f t="shared" si="0"/>
        <v>6</v>
      </c>
      <c r="J24" s="89" t="s">
        <v>21</v>
      </c>
      <c r="K24" s="89">
        <f>H24*3.5</f>
        <v>42</v>
      </c>
      <c r="L24" s="89"/>
      <c r="M24" s="89">
        <v>60</v>
      </c>
      <c r="N24" s="33">
        <v>67</v>
      </c>
      <c r="O24" s="33">
        <v>71</v>
      </c>
      <c r="P24" s="33">
        <f t="shared" si="9"/>
        <v>11</v>
      </c>
      <c r="Q24" s="33" t="s">
        <v>21</v>
      </c>
      <c r="R24" s="33">
        <f>O24*2.5</f>
        <v>177.5</v>
      </c>
      <c r="S24" s="33"/>
      <c r="T24" s="33">
        <v>7</v>
      </c>
      <c r="U24" s="33">
        <v>8</v>
      </c>
      <c r="V24" s="33">
        <f>VLOOKUP(B:B,'[4]SQL Results'!$B$1:$Q$65536,16,0)</f>
        <v>10</v>
      </c>
      <c r="W24" s="33">
        <f>VLOOKUP(B:B,'[4]SQL Results'!$B$1:$P$65536,15,0)</f>
        <v>1946</v>
      </c>
      <c r="X24" s="33">
        <f t="shared" si="1"/>
        <v>3</v>
      </c>
      <c r="Y24" s="33" t="s">
        <v>21</v>
      </c>
      <c r="Z24" s="33">
        <f t="shared" si="10"/>
        <v>194.6</v>
      </c>
      <c r="AA24" s="33"/>
      <c r="AB24" s="33">
        <v>987</v>
      </c>
      <c r="AC24" s="33">
        <v>1097</v>
      </c>
      <c r="AD24" s="31">
        <v>1767.5</v>
      </c>
      <c r="AE24" s="99">
        <f t="shared" si="2"/>
        <v>780.5</v>
      </c>
      <c r="AF24" s="99" t="s">
        <v>21</v>
      </c>
      <c r="AG24" s="99">
        <f>AD24*0.09</f>
        <v>159.075</v>
      </c>
      <c r="AH24" s="99"/>
      <c r="AI24" s="31">
        <f t="shared" si="3"/>
        <v>573</v>
      </c>
      <c r="AJ24" s="31">
        <f t="shared" si="4"/>
        <v>0</v>
      </c>
    </row>
    <row r="25" spans="1:36">
      <c r="A25" s="89">
        <v>23</v>
      </c>
      <c r="B25" s="91">
        <v>103199</v>
      </c>
      <c r="C25" s="21" t="s">
        <v>120</v>
      </c>
      <c r="D25" s="89" t="s">
        <v>109</v>
      </c>
      <c r="E25" s="89" t="s">
        <v>93</v>
      </c>
      <c r="F25" s="89">
        <v>4</v>
      </c>
      <c r="G25" s="89">
        <v>4</v>
      </c>
      <c r="H25" s="89">
        <f>VLOOKUP(B:B,'[4]SQL Results'!$B$1:$L$65536,11,0)</f>
        <v>2</v>
      </c>
      <c r="I25" s="89">
        <f t="shared" si="0"/>
        <v>-2</v>
      </c>
      <c r="J25" s="89" t="s">
        <v>274</v>
      </c>
      <c r="K25" s="89">
        <f>H25*1</f>
        <v>2</v>
      </c>
      <c r="L25" s="89">
        <f>I25*1</f>
        <v>-2</v>
      </c>
      <c r="M25" s="89">
        <v>60</v>
      </c>
      <c r="N25" s="33">
        <v>67</v>
      </c>
      <c r="O25" s="33">
        <v>139</v>
      </c>
      <c r="P25" s="33">
        <f t="shared" si="9"/>
        <v>79</v>
      </c>
      <c r="Q25" s="33" t="s">
        <v>21</v>
      </c>
      <c r="R25" s="33">
        <f>O25*2.5</f>
        <v>347.5</v>
      </c>
      <c r="S25" s="33"/>
      <c r="T25" s="33">
        <v>5</v>
      </c>
      <c r="U25" s="33">
        <v>6</v>
      </c>
      <c r="V25" s="33">
        <f>VLOOKUP(B:B,'[4]SQL Results'!$B$1:$Q$65536,16,0)</f>
        <v>11</v>
      </c>
      <c r="W25" s="33">
        <f>VLOOKUP(B:B,'[4]SQL Results'!$B$1:$P$65536,15,0)</f>
        <v>2251.04</v>
      </c>
      <c r="X25" s="33">
        <f t="shared" si="1"/>
        <v>6</v>
      </c>
      <c r="Y25" s="33" t="s">
        <v>21</v>
      </c>
      <c r="Z25" s="33">
        <f t="shared" si="10"/>
        <v>225.104</v>
      </c>
      <c r="AA25" s="33"/>
      <c r="AB25" s="33">
        <v>921</v>
      </c>
      <c r="AC25" s="33">
        <v>1023</v>
      </c>
      <c r="AD25" s="31">
        <v>358.5</v>
      </c>
      <c r="AE25" s="99">
        <f t="shared" si="2"/>
        <v>-562.5</v>
      </c>
      <c r="AF25" s="99" t="s">
        <v>274</v>
      </c>
      <c r="AG25" s="99">
        <f>AD25*0.05</f>
        <v>17.925</v>
      </c>
      <c r="AH25" s="99">
        <f>AE25*0.04</f>
        <v>-22.5</v>
      </c>
      <c r="AI25" s="31">
        <f t="shared" si="3"/>
        <v>593</v>
      </c>
      <c r="AJ25" s="31">
        <f t="shared" si="4"/>
        <v>-25</v>
      </c>
    </row>
    <row r="26" spans="1:36">
      <c r="A26" s="89">
        <v>24</v>
      </c>
      <c r="B26" s="91">
        <v>102934</v>
      </c>
      <c r="C26" s="21" t="s">
        <v>121</v>
      </c>
      <c r="D26" s="89" t="s">
        <v>92</v>
      </c>
      <c r="E26" s="89" t="s">
        <v>93</v>
      </c>
      <c r="F26" s="89">
        <v>16</v>
      </c>
      <c r="G26" s="89">
        <v>18</v>
      </c>
      <c r="H26" s="89">
        <f>VLOOKUP(B:B,'[4]SQL Results'!$B$1:$L$65536,11,0)</f>
        <v>3</v>
      </c>
      <c r="I26" s="89">
        <f t="shared" si="0"/>
        <v>-13</v>
      </c>
      <c r="J26" s="89" t="s">
        <v>274</v>
      </c>
      <c r="K26" s="89">
        <f>H26*1</f>
        <v>3</v>
      </c>
      <c r="L26" s="89">
        <f>I26*1</f>
        <v>-13</v>
      </c>
      <c r="M26" s="89">
        <v>85</v>
      </c>
      <c r="N26" s="33">
        <v>94</v>
      </c>
      <c r="O26" s="33">
        <v>130</v>
      </c>
      <c r="P26" s="33">
        <f t="shared" si="9"/>
        <v>45</v>
      </c>
      <c r="Q26" s="33" t="s">
        <v>21</v>
      </c>
      <c r="R26" s="33">
        <f>O26*2.5</f>
        <v>325</v>
      </c>
      <c r="S26" s="33"/>
      <c r="T26" s="33">
        <v>19</v>
      </c>
      <c r="U26" s="33">
        <v>21</v>
      </c>
      <c r="V26" s="33">
        <f>VLOOKUP(B:B,'[4]SQL Results'!$B$1:$Q$65536,16,0)</f>
        <v>21</v>
      </c>
      <c r="W26" s="33">
        <f>VLOOKUP(B:B,'[4]SQL Results'!$B$1:$P$65536,15,0)</f>
        <v>4140.8</v>
      </c>
      <c r="X26" s="33">
        <f t="shared" si="1"/>
        <v>2</v>
      </c>
      <c r="Y26" s="33" t="s">
        <v>21</v>
      </c>
      <c r="Z26" s="33">
        <f t="shared" si="10"/>
        <v>414.08</v>
      </c>
      <c r="AA26" s="33"/>
      <c r="AB26" s="33">
        <v>2394</v>
      </c>
      <c r="AC26" s="33">
        <v>2660</v>
      </c>
      <c r="AD26" s="31">
        <v>2547.25</v>
      </c>
      <c r="AE26" s="99">
        <f t="shared" si="2"/>
        <v>153.25</v>
      </c>
      <c r="AF26" s="99" t="s">
        <v>20</v>
      </c>
      <c r="AG26" s="99">
        <f>AD26*0.07</f>
        <v>178.3075</v>
      </c>
      <c r="AH26" s="99"/>
      <c r="AI26" s="31">
        <f t="shared" si="3"/>
        <v>920</v>
      </c>
      <c r="AJ26" s="31">
        <f t="shared" si="4"/>
        <v>-13</v>
      </c>
    </row>
    <row r="27" spans="1:36">
      <c r="A27" s="89">
        <v>25</v>
      </c>
      <c r="B27" s="91">
        <v>104429</v>
      </c>
      <c r="C27" s="24" t="s">
        <v>122</v>
      </c>
      <c r="D27" s="92"/>
      <c r="E27" s="92" t="s">
        <v>93</v>
      </c>
      <c r="F27" s="89">
        <v>5</v>
      </c>
      <c r="G27" s="89">
        <v>5</v>
      </c>
      <c r="H27" s="89">
        <f>VLOOKUP(B:B,'[4]SQL Results'!$B$1:$L$65536,11,0)</f>
        <v>1</v>
      </c>
      <c r="I27" s="89">
        <f t="shared" si="0"/>
        <v>-4</v>
      </c>
      <c r="J27" s="89" t="s">
        <v>274</v>
      </c>
      <c r="K27" s="89">
        <f>H27*1</f>
        <v>1</v>
      </c>
      <c r="L27" s="89">
        <f>I27*1</f>
        <v>-4</v>
      </c>
      <c r="M27" s="89">
        <v>32</v>
      </c>
      <c r="N27" s="33">
        <v>36</v>
      </c>
      <c r="O27" s="33">
        <v>7</v>
      </c>
      <c r="P27" s="33">
        <f t="shared" si="9"/>
        <v>-25</v>
      </c>
      <c r="Q27" s="33" t="s">
        <v>274</v>
      </c>
      <c r="R27" s="33">
        <f>O27*0.8</f>
        <v>5.6</v>
      </c>
      <c r="S27" s="33">
        <f>P27*0.6</f>
        <v>-15</v>
      </c>
      <c r="T27" s="33">
        <v>3</v>
      </c>
      <c r="U27" s="33">
        <v>3</v>
      </c>
      <c r="V27" s="33">
        <f>VLOOKUP(B:B,'[4]SQL Results'!$B$1:$Q$65536,16,0)</f>
        <v>5</v>
      </c>
      <c r="W27" s="33">
        <f>VLOOKUP(B:B,'[4]SQL Results'!$B$1:$P$65536,15,0)</f>
        <v>1262</v>
      </c>
      <c r="X27" s="33">
        <f t="shared" si="1"/>
        <v>2</v>
      </c>
      <c r="Y27" s="33" t="s">
        <v>21</v>
      </c>
      <c r="Z27" s="33">
        <f t="shared" si="10"/>
        <v>126.2</v>
      </c>
      <c r="AA27" s="33"/>
      <c r="AB27" s="33">
        <v>648</v>
      </c>
      <c r="AC27" s="33">
        <v>720</v>
      </c>
      <c r="AD27" s="31">
        <v>50</v>
      </c>
      <c r="AE27" s="99">
        <f t="shared" si="2"/>
        <v>-598</v>
      </c>
      <c r="AF27" s="99" t="s">
        <v>274</v>
      </c>
      <c r="AG27" s="99">
        <f>AD27*0.05</f>
        <v>2.5</v>
      </c>
      <c r="AH27" s="99">
        <f>AE27*0.04</f>
        <v>-23.92</v>
      </c>
      <c r="AI27" s="31">
        <f t="shared" si="3"/>
        <v>135</v>
      </c>
      <c r="AJ27" s="31">
        <f t="shared" si="4"/>
        <v>-43</v>
      </c>
    </row>
    <row r="28" s="80" customFormat="1" ht="18" customHeight="1" spans="1:36">
      <c r="A28" s="93"/>
      <c r="B28" s="94">
        <v>105267</v>
      </c>
      <c r="C28" s="94" t="s">
        <v>275</v>
      </c>
      <c r="D28" s="93"/>
      <c r="E28" s="93" t="s">
        <v>93</v>
      </c>
      <c r="F28" s="90"/>
      <c r="G28" s="90"/>
      <c r="H28" s="90">
        <v>11</v>
      </c>
      <c r="I28" s="90"/>
      <c r="J28" s="90"/>
      <c r="K28" s="90">
        <f>H28*2.5</f>
        <v>27.5</v>
      </c>
      <c r="L28" s="90"/>
      <c r="M28" s="90"/>
      <c r="N28" s="97"/>
      <c r="O28" s="97">
        <v>36</v>
      </c>
      <c r="P28" s="97"/>
      <c r="Q28" s="97"/>
      <c r="R28" s="97">
        <f>O28*1.5</f>
        <v>54</v>
      </c>
      <c r="S28" s="97"/>
      <c r="T28" s="97"/>
      <c r="U28" s="97"/>
      <c r="V28" s="97">
        <v>9</v>
      </c>
      <c r="W28" s="97">
        <v>2126.01</v>
      </c>
      <c r="X28" s="97">
        <f t="shared" si="1"/>
        <v>9</v>
      </c>
      <c r="Y28" s="97" t="s">
        <v>21</v>
      </c>
      <c r="Z28" s="97">
        <f>W28*0.08</f>
        <v>170.0808</v>
      </c>
      <c r="AA28" s="97"/>
      <c r="AB28" s="97"/>
      <c r="AC28" s="97"/>
      <c r="AD28" s="100">
        <v>168.3</v>
      </c>
      <c r="AE28" s="101"/>
      <c r="AF28" s="101"/>
      <c r="AG28" s="101">
        <f>AD28*0.07</f>
        <v>11.781</v>
      </c>
      <c r="AH28" s="101"/>
      <c r="AI28" s="100">
        <f t="shared" si="3"/>
        <v>263</v>
      </c>
      <c r="AJ28" s="100">
        <f t="shared" si="4"/>
        <v>0</v>
      </c>
    </row>
    <row r="29" spans="1:36">
      <c r="A29" s="89">
        <v>26</v>
      </c>
      <c r="B29" s="89">
        <v>307</v>
      </c>
      <c r="C29" s="21" t="s">
        <v>123</v>
      </c>
      <c r="D29" s="89" t="s">
        <v>124</v>
      </c>
      <c r="E29" s="89" t="s">
        <v>125</v>
      </c>
      <c r="F29" s="89">
        <v>122</v>
      </c>
      <c r="G29" s="89">
        <v>136</v>
      </c>
      <c r="H29" s="89">
        <f>VLOOKUP(B:B,'[4]SQL Results'!$B$1:$L$65536,11,0)</f>
        <v>92</v>
      </c>
      <c r="I29" s="89">
        <f t="shared" si="0"/>
        <v>-30</v>
      </c>
      <c r="J29" s="89" t="s">
        <v>274</v>
      </c>
      <c r="K29" s="89">
        <f>H29*1</f>
        <v>92</v>
      </c>
      <c r="L29" s="89">
        <f>I29*1</f>
        <v>-30</v>
      </c>
      <c r="M29" s="89">
        <v>437</v>
      </c>
      <c r="N29" s="33">
        <v>486</v>
      </c>
      <c r="O29" s="33">
        <v>703</v>
      </c>
      <c r="P29" s="33">
        <f t="shared" si="9"/>
        <v>266</v>
      </c>
      <c r="Q29" s="33" t="s">
        <v>21</v>
      </c>
      <c r="R29" s="33">
        <f>O29*2.5</f>
        <v>1757.5</v>
      </c>
      <c r="S29" s="33"/>
      <c r="T29" s="33">
        <v>107</v>
      </c>
      <c r="U29" s="33">
        <v>119</v>
      </c>
      <c r="V29" s="33">
        <f>VLOOKUP(B:B,'[4]SQL Results'!$B$1:$Q$65536,16,0)</f>
        <v>174</v>
      </c>
      <c r="W29" s="33">
        <f>VLOOKUP(B:B,'[4]SQL Results'!$B$1:$P$65536,15,0)</f>
        <v>43890</v>
      </c>
      <c r="X29" s="33">
        <f t="shared" si="1"/>
        <v>67</v>
      </c>
      <c r="Y29" s="33" t="s">
        <v>21</v>
      </c>
      <c r="Z29" s="33">
        <f t="shared" si="10"/>
        <v>4389</v>
      </c>
      <c r="AA29" s="33"/>
      <c r="AB29" s="33">
        <v>41163</v>
      </c>
      <c r="AC29" s="33">
        <v>45737</v>
      </c>
      <c r="AD29" s="31">
        <v>24857.32</v>
      </c>
      <c r="AE29" s="99">
        <f t="shared" si="2"/>
        <v>-16305.68</v>
      </c>
      <c r="AF29" s="99" t="s">
        <v>274</v>
      </c>
      <c r="AG29" s="99">
        <f>AD29*0.05</f>
        <v>1242.866</v>
      </c>
      <c r="AH29" s="99">
        <f>AE29*0.04</f>
        <v>-652.2272</v>
      </c>
      <c r="AI29" s="31">
        <f t="shared" si="3"/>
        <v>7481</v>
      </c>
      <c r="AJ29" s="31">
        <f t="shared" si="4"/>
        <v>-682</v>
      </c>
    </row>
    <row r="30" spans="1:36">
      <c r="A30" s="89">
        <v>27</v>
      </c>
      <c r="B30" s="89">
        <v>712</v>
      </c>
      <c r="C30" s="21" t="s">
        <v>126</v>
      </c>
      <c r="D30" s="89" t="s">
        <v>92</v>
      </c>
      <c r="E30" s="89" t="s">
        <v>127</v>
      </c>
      <c r="F30" s="89">
        <v>20</v>
      </c>
      <c r="G30" s="89">
        <v>22</v>
      </c>
      <c r="H30" s="89">
        <f>VLOOKUP(B:B,'[4]SQL Results'!$B$1:$L$65536,11,0)</f>
        <v>44</v>
      </c>
      <c r="I30" s="89">
        <f t="shared" si="0"/>
        <v>24</v>
      </c>
      <c r="J30" s="89" t="s">
        <v>21</v>
      </c>
      <c r="K30" s="89">
        <f>H30*3.5</f>
        <v>154</v>
      </c>
      <c r="L30" s="89"/>
      <c r="M30" s="89">
        <v>291</v>
      </c>
      <c r="N30" s="33">
        <v>323</v>
      </c>
      <c r="O30" s="33">
        <v>247</v>
      </c>
      <c r="P30" s="33">
        <f t="shared" si="9"/>
        <v>-44</v>
      </c>
      <c r="Q30" s="33" t="s">
        <v>274</v>
      </c>
      <c r="R30" s="33">
        <f>O30*0.8</f>
        <v>197.6</v>
      </c>
      <c r="S30" s="33">
        <f>P30*0.6</f>
        <v>-26.4</v>
      </c>
      <c r="T30" s="33">
        <v>13</v>
      </c>
      <c r="U30" s="33">
        <v>14</v>
      </c>
      <c r="V30" s="33">
        <f>VLOOKUP(B:B,'[4]SQL Results'!$B$1:$Q$65536,16,0)</f>
        <v>28</v>
      </c>
      <c r="W30" s="33">
        <f>VLOOKUP(B:B,'[4]SQL Results'!$B$1:$P$65536,15,0)</f>
        <v>7182</v>
      </c>
      <c r="X30" s="33">
        <f t="shared" si="1"/>
        <v>15</v>
      </c>
      <c r="Y30" s="33" t="s">
        <v>21</v>
      </c>
      <c r="Z30" s="33">
        <f t="shared" si="10"/>
        <v>718.2</v>
      </c>
      <c r="AA30" s="33"/>
      <c r="AB30" s="33">
        <v>9574</v>
      </c>
      <c r="AC30" s="33">
        <v>10638</v>
      </c>
      <c r="AD30" s="31">
        <v>5933.92</v>
      </c>
      <c r="AE30" s="99">
        <f t="shared" si="2"/>
        <v>-3640.08</v>
      </c>
      <c r="AF30" s="99" t="s">
        <v>274</v>
      </c>
      <c r="AG30" s="99">
        <f>AD30*0.05</f>
        <v>296.696</v>
      </c>
      <c r="AH30" s="99">
        <f>AE30*0.04</f>
        <v>-145.6032</v>
      </c>
      <c r="AI30" s="31">
        <f t="shared" si="3"/>
        <v>1366</v>
      </c>
      <c r="AJ30" s="31">
        <f t="shared" si="4"/>
        <v>-172</v>
      </c>
    </row>
    <row r="31" spans="1:36">
      <c r="A31" s="89">
        <v>28</v>
      </c>
      <c r="B31" s="89">
        <v>571</v>
      </c>
      <c r="C31" s="21" t="s">
        <v>128</v>
      </c>
      <c r="D31" s="89" t="s">
        <v>92</v>
      </c>
      <c r="E31" s="89" t="s">
        <v>127</v>
      </c>
      <c r="F31" s="89">
        <v>24</v>
      </c>
      <c r="G31" s="89">
        <v>27</v>
      </c>
      <c r="H31" s="89">
        <f>VLOOKUP(B:B,'[4]SQL Results'!$B$1:$L$65536,11,0)</f>
        <v>27</v>
      </c>
      <c r="I31" s="89">
        <f t="shared" si="0"/>
        <v>3</v>
      </c>
      <c r="J31" s="89" t="s">
        <v>21</v>
      </c>
      <c r="K31" s="89">
        <f>H31*3.5</f>
        <v>94.5</v>
      </c>
      <c r="L31" s="89"/>
      <c r="M31" s="89">
        <v>308</v>
      </c>
      <c r="N31" s="33">
        <v>342</v>
      </c>
      <c r="O31" s="33">
        <v>168</v>
      </c>
      <c r="P31" s="33">
        <f t="shared" si="9"/>
        <v>-140</v>
      </c>
      <c r="Q31" s="33" t="s">
        <v>274</v>
      </c>
      <c r="R31" s="33">
        <f>O31*0.8</f>
        <v>134.4</v>
      </c>
      <c r="S31" s="33">
        <f>P31*0.6</f>
        <v>-84</v>
      </c>
      <c r="T31" s="33">
        <v>18</v>
      </c>
      <c r="U31" s="33">
        <v>20</v>
      </c>
      <c r="V31" s="33">
        <f>VLOOKUP(B:B,'[4]SQL Results'!$B$1:$Q$65536,16,0)</f>
        <v>18</v>
      </c>
      <c r="W31" s="33">
        <f>VLOOKUP(B:B,'[4]SQL Results'!$B$1:$P$65536,15,0)</f>
        <v>4539.6</v>
      </c>
      <c r="X31" s="33">
        <f t="shared" si="1"/>
        <v>0</v>
      </c>
      <c r="Y31" s="33" t="s">
        <v>20</v>
      </c>
      <c r="Z31" s="33">
        <f>W31*0.08</f>
        <v>363.168</v>
      </c>
      <c r="AA31" s="33"/>
      <c r="AB31" s="33">
        <v>6755</v>
      </c>
      <c r="AC31" s="33">
        <v>7505</v>
      </c>
      <c r="AD31" s="31">
        <v>4282.6</v>
      </c>
      <c r="AE31" s="99">
        <f t="shared" si="2"/>
        <v>-2472.4</v>
      </c>
      <c r="AF31" s="99" t="s">
        <v>274</v>
      </c>
      <c r="AG31" s="99">
        <f>AD31*0.05</f>
        <v>214.13</v>
      </c>
      <c r="AH31" s="99">
        <f>AE31*0.04</f>
        <v>-98.896</v>
      </c>
      <c r="AI31" s="31">
        <f t="shared" si="3"/>
        <v>806</v>
      </c>
      <c r="AJ31" s="31">
        <f t="shared" si="4"/>
        <v>-183</v>
      </c>
    </row>
    <row r="32" spans="1:36">
      <c r="A32" s="89">
        <v>29</v>
      </c>
      <c r="B32" s="89">
        <v>750</v>
      </c>
      <c r="C32" s="21" t="s">
        <v>129</v>
      </c>
      <c r="D32" s="89" t="s">
        <v>92</v>
      </c>
      <c r="E32" s="89" t="s">
        <v>127</v>
      </c>
      <c r="F32" s="89">
        <v>24</v>
      </c>
      <c r="G32" s="89">
        <v>26</v>
      </c>
      <c r="H32" s="89">
        <f>VLOOKUP(B:B,'[4]SQL Results'!$B$1:$L$65536,11,0)</f>
        <v>16</v>
      </c>
      <c r="I32" s="89">
        <f t="shared" si="0"/>
        <v>-8</v>
      </c>
      <c r="J32" s="89" t="s">
        <v>274</v>
      </c>
      <c r="K32" s="89">
        <f>H32*1</f>
        <v>16</v>
      </c>
      <c r="L32" s="89">
        <f>I32*1</f>
        <v>-8</v>
      </c>
      <c r="M32" s="89">
        <v>248</v>
      </c>
      <c r="N32" s="33">
        <v>272</v>
      </c>
      <c r="O32" s="33">
        <v>515</v>
      </c>
      <c r="P32" s="33">
        <f t="shared" si="9"/>
        <v>267</v>
      </c>
      <c r="Q32" s="33" t="s">
        <v>21</v>
      </c>
      <c r="R32" s="33">
        <f>O32*2.5</f>
        <v>1287.5</v>
      </c>
      <c r="S32" s="33"/>
      <c r="T32" s="33">
        <v>30</v>
      </c>
      <c r="U32" s="33">
        <v>33</v>
      </c>
      <c r="V32" s="33">
        <f>VLOOKUP(B:B,'[4]SQL Results'!$B$1:$Q$65536,16,0)</f>
        <v>45</v>
      </c>
      <c r="W32" s="33">
        <f>VLOOKUP(B:B,'[4]SQL Results'!$B$1:$P$65536,15,0)</f>
        <v>11346.5</v>
      </c>
      <c r="X32" s="33">
        <f t="shared" si="1"/>
        <v>15</v>
      </c>
      <c r="Y32" s="33" t="s">
        <v>21</v>
      </c>
      <c r="Z32" s="33">
        <f>W32*0.1</f>
        <v>1134.65</v>
      </c>
      <c r="AA32" s="33"/>
      <c r="AB32" s="33">
        <v>2297</v>
      </c>
      <c r="AC32" s="33">
        <v>2527</v>
      </c>
      <c r="AD32" s="31">
        <v>6051.53</v>
      </c>
      <c r="AE32" s="99">
        <f t="shared" si="2"/>
        <v>3754.53</v>
      </c>
      <c r="AF32" s="99" t="s">
        <v>21</v>
      </c>
      <c r="AG32" s="99">
        <f>AD32*0.09</f>
        <v>544.6377</v>
      </c>
      <c r="AH32" s="99"/>
      <c r="AI32" s="31">
        <f t="shared" si="3"/>
        <v>2983</v>
      </c>
      <c r="AJ32" s="31">
        <f t="shared" si="4"/>
        <v>-8</v>
      </c>
    </row>
    <row r="33" spans="1:36">
      <c r="A33" s="89">
        <v>30</v>
      </c>
      <c r="B33" s="89">
        <v>707</v>
      </c>
      <c r="C33" s="21" t="s">
        <v>130</v>
      </c>
      <c r="D33" s="89" t="s">
        <v>95</v>
      </c>
      <c r="E33" s="89" t="s">
        <v>127</v>
      </c>
      <c r="F33" s="89">
        <v>20</v>
      </c>
      <c r="G33" s="89">
        <v>22</v>
      </c>
      <c r="H33" s="89">
        <f>VLOOKUP(B:B,'[4]SQL Results'!$B$1:$L$65536,11,0)</f>
        <v>1</v>
      </c>
      <c r="I33" s="89">
        <f t="shared" si="0"/>
        <v>-19</v>
      </c>
      <c r="J33" s="89" t="s">
        <v>274</v>
      </c>
      <c r="K33" s="89">
        <f>H33*1</f>
        <v>1</v>
      </c>
      <c r="L33" s="89">
        <f>I33*1</f>
        <v>-19</v>
      </c>
      <c r="M33" s="89">
        <v>176</v>
      </c>
      <c r="N33" s="33">
        <v>196</v>
      </c>
      <c r="O33" s="33">
        <v>149</v>
      </c>
      <c r="P33" s="33">
        <f t="shared" si="9"/>
        <v>-27</v>
      </c>
      <c r="Q33" s="33" t="s">
        <v>274</v>
      </c>
      <c r="R33" s="33">
        <f>O33*0.8</f>
        <v>119.2</v>
      </c>
      <c r="S33" s="33">
        <f>P33*0.6</f>
        <v>-16.2</v>
      </c>
      <c r="T33" s="33">
        <v>14</v>
      </c>
      <c r="U33" s="33">
        <v>15</v>
      </c>
      <c r="V33" s="33">
        <f>VLOOKUP(B:B,'[4]SQL Results'!$B$1:$Q$65536,16,0)</f>
        <v>11</v>
      </c>
      <c r="W33" s="33">
        <f>VLOOKUP(B:B,'[4]SQL Results'!$B$1:$P$65536,15,0)</f>
        <v>3156.14</v>
      </c>
      <c r="X33" s="33">
        <f t="shared" si="1"/>
        <v>-3</v>
      </c>
      <c r="Y33" s="33" t="s">
        <v>274</v>
      </c>
      <c r="Z33" s="33">
        <f>W33*0.05</f>
        <v>157.807</v>
      </c>
      <c r="AA33" s="33">
        <f>X33*8</f>
        <v>-24</v>
      </c>
      <c r="AB33" s="33">
        <v>2392</v>
      </c>
      <c r="AC33" s="33">
        <v>2658</v>
      </c>
      <c r="AD33" s="31">
        <v>1970.5</v>
      </c>
      <c r="AE33" s="99">
        <f t="shared" si="2"/>
        <v>-421.5</v>
      </c>
      <c r="AF33" s="99" t="s">
        <v>274</v>
      </c>
      <c r="AG33" s="99">
        <f>AD33*0.05</f>
        <v>98.525</v>
      </c>
      <c r="AH33" s="99">
        <f>AE33*0.04</f>
        <v>-16.86</v>
      </c>
      <c r="AI33" s="31">
        <f t="shared" si="3"/>
        <v>377</v>
      </c>
      <c r="AJ33" s="31">
        <f t="shared" si="4"/>
        <v>-76</v>
      </c>
    </row>
    <row r="34" spans="1:36">
      <c r="A34" s="89">
        <v>31</v>
      </c>
      <c r="B34" s="89">
        <v>387</v>
      </c>
      <c r="C34" s="21" t="s">
        <v>131</v>
      </c>
      <c r="D34" s="89" t="s">
        <v>92</v>
      </c>
      <c r="E34" s="89" t="s">
        <v>127</v>
      </c>
      <c r="F34" s="89">
        <v>16</v>
      </c>
      <c r="G34" s="89">
        <v>18</v>
      </c>
      <c r="H34" s="89">
        <f>VLOOKUP(B:B,'[4]SQL Results'!$B$1:$L$65536,11,0)</f>
        <v>6</v>
      </c>
      <c r="I34" s="89">
        <f t="shared" si="0"/>
        <v>-10</v>
      </c>
      <c r="J34" s="89" t="s">
        <v>274</v>
      </c>
      <c r="K34" s="89">
        <f>H34*1</f>
        <v>6</v>
      </c>
      <c r="L34" s="89">
        <f>I34*1</f>
        <v>-10</v>
      </c>
      <c r="M34" s="89">
        <v>233</v>
      </c>
      <c r="N34" s="33">
        <v>259</v>
      </c>
      <c r="O34" s="33">
        <v>107</v>
      </c>
      <c r="P34" s="33">
        <f t="shared" si="9"/>
        <v>-126</v>
      </c>
      <c r="Q34" s="33" t="s">
        <v>274</v>
      </c>
      <c r="R34" s="33">
        <f>O34*0.8</f>
        <v>85.6</v>
      </c>
      <c r="S34" s="33">
        <f>P34*0.6</f>
        <v>-75.6</v>
      </c>
      <c r="T34" s="33">
        <v>8</v>
      </c>
      <c r="U34" s="33">
        <v>9</v>
      </c>
      <c r="V34" s="33">
        <f>VLOOKUP(B:B,'[4]SQL Results'!$B$1:$Q$65536,16,0)</f>
        <v>7</v>
      </c>
      <c r="W34" s="33">
        <f>VLOOKUP(B:B,'[4]SQL Results'!$B$1:$P$65536,15,0)</f>
        <v>1940</v>
      </c>
      <c r="X34" s="33">
        <f t="shared" si="1"/>
        <v>-1</v>
      </c>
      <c r="Y34" s="33" t="s">
        <v>274</v>
      </c>
      <c r="Z34" s="33">
        <f>W34*0.05</f>
        <v>97</v>
      </c>
      <c r="AA34" s="33">
        <f>X34*8</f>
        <v>-8</v>
      </c>
      <c r="AB34" s="33">
        <v>2750</v>
      </c>
      <c r="AC34" s="33">
        <v>3056</v>
      </c>
      <c r="AD34" s="31">
        <v>2747.79</v>
      </c>
      <c r="AE34" s="99">
        <f t="shared" si="2"/>
        <v>-2.21000000000004</v>
      </c>
      <c r="AF34" s="99" t="s">
        <v>274</v>
      </c>
      <c r="AG34" s="99">
        <f>AD34*0.05</f>
        <v>137.3895</v>
      </c>
      <c r="AH34" s="99">
        <f>AE34*0.04</f>
        <v>-0.0884000000000015</v>
      </c>
      <c r="AI34" s="31">
        <f t="shared" si="3"/>
        <v>326</v>
      </c>
      <c r="AJ34" s="31">
        <f t="shared" si="4"/>
        <v>-94</v>
      </c>
    </row>
    <row r="35" spans="1:36">
      <c r="A35" s="89">
        <v>32</v>
      </c>
      <c r="B35" s="89">
        <v>546</v>
      </c>
      <c r="C35" s="21" t="s">
        <v>132</v>
      </c>
      <c r="D35" s="89" t="s">
        <v>95</v>
      </c>
      <c r="E35" s="89" t="s">
        <v>127</v>
      </c>
      <c r="F35" s="89">
        <v>16</v>
      </c>
      <c r="G35" s="89">
        <v>18</v>
      </c>
      <c r="H35" s="89">
        <f>VLOOKUP(B:B,'[4]SQL Results'!$B$1:$L$65536,11,0)</f>
        <v>5</v>
      </c>
      <c r="I35" s="89">
        <f t="shared" si="0"/>
        <v>-11</v>
      </c>
      <c r="J35" s="89" t="s">
        <v>274</v>
      </c>
      <c r="K35" s="89">
        <f>H35*1</f>
        <v>5</v>
      </c>
      <c r="L35" s="89">
        <f>I35*1</f>
        <v>-11</v>
      </c>
      <c r="M35" s="89">
        <v>272</v>
      </c>
      <c r="N35" s="33">
        <v>302</v>
      </c>
      <c r="O35" s="33">
        <v>274</v>
      </c>
      <c r="P35" s="33">
        <f t="shared" si="9"/>
        <v>2</v>
      </c>
      <c r="Q35" s="33" t="s">
        <v>20</v>
      </c>
      <c r="R35" s="33">
        <f>O35*1.5</f>
        <v>411</v>
      </c>
      <c r="S35" s="33"/>
      <c r="T35" s="33">
        <v>12</v>
      </c>
      <c r="U35" s="33">
        <v>13</v>
      </c>
      <c r="V35" s="33">
        <f>VLOOKUP(B:B,'[4]SQL Results'!$B$1:$Q$65536,16,0)</f>
        <v>28</v>
      </c>
      <c r="W35" s="33">
        <f>VLOOKUP(B:B,'[4]SQL Results'!$B$1:$P$65536,15,0)</f>
        <v>6119.86</v>
      </c>
      <c r="X35" s="33">
        <f t="shared" si="1"/>
        <v>16</v>
      </c>
      <c r="Y35" s="33" t="s">
        <v>21</v>
      </c>
      <c r="Z35" s="33">
        <f>W35*0.1</f>
        <v>611.986</v>
      </c>
      <c r="AA35" s="33"/>
      <c r="AB35" s="33">
        <v>3754</v>
      </c>
      <c r="AC35" s="33">
        <v>4171</v>
      </c>
      <c r="AD35" s="31">
        <v>3758.6</v>
      </c>
      <c r="AE35" s="99">
        <f t="shared" si="2"/>
        <v>4.59999999999991</v>
      </c>
      <c r="AF35" s="99" t="s">
        <v>20</v>
      </c>
      <c r="AG35" s="99">
        <f>AD35*0.07</f>
        <v>263.102</v>
      </c>
      <c r="AH35" s="99"/>
      <c r="AI35" s="31">
        <f t="shared" si="3"/>
        <v>1291</v>
      </c>
      <c r="AJ35" s="31">
        <f t="shared" si="4"/>
        <v>-11</v>
      </c>
    </row>
    <row r="36" spans="1:36">
      <c r="A36" s="89">
        <v>33</v>
      </c>
      <c r="B36" s="89">
        <v>724</v>
      </c>
      <c r="C36" s="21" t="s">
        <v>133</v>
      </c>
      <c r="D36" s="89" t="s">
        <v>95</v>
      </c>
      <c r="E36" s="89" t="s">
        <v>127</v>
      </c>
      <c r="F36" s="89">
        <v>16</v>
      </c>
      <c r="G36" s="89">
        <v>18</v>
      </c>
      <c r="H36" s="89">
        <f>VLOOKUP(B:B,'[4]SQL Results'!$B$1:$L$65536,11,0)</f>
        <v>7</v>
      </c>
      <c r="I36" s="89">
        <f t="shared" ref="I36:I67" si="11">H36-F36</f>
        <v>-9</v>
      </c>
      <c r="J36" s="89" t="s">
        <v>274</v>
      </c>
      <c r="K36" s="89">
        <f>H36*1</f>
        <v>7</v>
      </c>
      <c r="L36" s="89">
        <f>I36*1</f>
        <v>-9</v>
      </c>
      <c r="M36" s="89">
        <v>181</v>
      </c>
      <c r="N36" s="33">
        <v>201</v>
      </c>
      <c r="O36" s="33">
        <v>151</v>
      </c>
      <c r="P36" s="33">
        <f t="shared" si="9"/>
        <v>-30</v>
      </c>
      <c r="Q36" s="33" t="s">
        <v>274</v>
      </c>
      <c r="R36" s="33">
        <f>O36*0.8</f>
        <v>120.8</v>
      </c>
      <c r="S36" s="33">
        <f>P36*0.6</f>
        <v>-18</v>
      </c>
      <c r="T36" s="33">
        <v>9</v>
      </c>
      <c r="U36" s="33">
        <v>10</v>
      </c>
      <c r="V36" s="33">
        <f>VLOOKUP(B:B,'[4]SQL Results'!$B$1:$Q$65536,16,0)</f>
        <v>8</v>
      </c>
      <c r="W36" s="33">
        <f>VLOOKUP(B:B,'[4]SQL Results'!$B$1:$P$65536,15,0)</f>
        <v>2128</v>
      </c>
      <c r="X36" s="33">
        <f t="shared" ref="X36:X67" si="12">V36-T36</f>
        <v>-1</v>
      </c>
      <c r="Y36" s="33" t="s">
        <v>274</v>
      </c>
      <c r="Z36" s="33">
        <f>W36*0.05</f>
        <v>106.4</v>
      </c>
      <c r="AA36" s="33">
        <f>X36*8</f>
        <v>-8</v>
      </c>
      <c r="AB36" s="33">
        <v>2566</v>
      </c>
      <c r="AC36" s="33">
        <v>2851</v>
      </c>
      <c r="AD36" s="31">
        <v>3297.01</v>
      </c>
      <c r="AE36" s="99">
        <f t="shared" ref="AE36:AE67" si="13">AD36-AB36</f>
        <v>731.01</v>
      </c>
      <c r="AF36" s="99" t="s">
        <v>21</v>
      </c>
      <c r="AG36" s="99">
        <f>AD36*0.09</f>
        <v>296.7309</v>
      </c>
      <c r="AH36" s="99"/>
      <c r="AI36" s="31">
        <f t="shared" ref="AI36:AI67" si="14">ROUND(K36+R36+Z36+AG36,0)</f>
        <v>531</v>
      </c>
      <c r="AJ36" s="31">
        <f t="shared" ref="AJ36:AJ67" si="15">ROUND(L36+S36+AA36+AH36,0)</f>
        <v>-35</v>
      </c>
    </row>
    <row r="37" spans="1:36">
      <c r="A37" s="89">
        <v>34</v>
      </c>
      <c r="B37" s="89">
        <v>598</v>
      </c>
      <c r="C37" s="21" t="s">
        <v>134</v>
      </c>
      <c r="D37" s="89" t="s">
        <v>104</v>
      </c>
      <c r="E37" s="89" t="s">
        <v>127</v>
      </c>
      <c r="F37" s="89">
        <v>12</v>
      </c>
      <c r="G37" s="89">
        <v>13</v>
      </c>
      <c r="H37" s="89">
        <f>VLOOKUP(B:B,'[4]SQL Results'!$B$1:$L$65536,11,0)</f>
        <v>14</v>
      </c>
      <c r="I37" s="89">
        <f t="shared" si="11"/>
        <v>2</v>
      </c>
      <c r="J37" s="89" t="s">
        <v>21</v>
      </c>
      <c r="K37" s="89">
        <f>H37*3.5</f>
        <v>49</v>
      </c>
      <c r="L37" s="89"/>
      <c r="M37" s="89">
        <v>199</v>
      </c>
      <c r="N37" s="33">
        <v>221</v>
      </c>
      <c r="O37" s="33">
        <v>293</v>
      </c>
      <c r="P37" s="33">
        <f t="shared" si="9"/>
        <v>94</v>
      </c>
      <c r="Q37" s="33" t="s">
        <v>21</v>
      </c>
      <c r="R37" s="33">
        <f>O37*2.5</f>
        <v>732.5</v>
      </c>
      <c r="S37" s="33"/>
      <c r="T37" s="33">
        <v>15</v>
      </c>
      <c r="U37" s="33">
        <v>17</v>
      </c>
      <c r="V37" s="33">
        <f>VLOOKUP(B:B,'[4]SQL Results'!$B$1:$Q$65536,16,0)</f>
        <v>25</v>
      </c>
      <c r="W37" s="33">
        <f>VLOOKUP(B:B,'[4]SQL Results'!$B$1:$P$65536,15,0)</f>
        <v>6788.41</v>
      </c>
      <c r="X37" s="33">
        <f t="shared" si="12"/>
        <v>10</v>
      </c>
      <c r="Y37" s="33" t="s">
        <v>21</v>
      </c>
      <c r="Z37" s="33">
        <f>W37*0.1</f>
        <v>678.841</v>
      </c>
      <c r="AA37" s="33"/>
      <c r="AB37" s="33">
        <v>2680</v>
      </c>
      <c r="AC37" s="33">
        <v>2978</v>
      </c>
      <c r="AD37" s="31">
        <v>1938.66</v>
      </c>
      <c r="AE37" s="99">
        <f t="shared" si="13"/>
        <v>-741.34</v>
      </c>
      <c r="AF37" s="99" t="s">
        <v>274</v>
      </c>
      <c r="AG37" s="99">
        <f>AD37*0.05</f>
        <v>96.933</v>
      </c>
      <c r="AH37" s="99">
        <f>AE37*0.04</f>
        <v>-29.6536</v>
      </c>
      <c r="AI37" s="31">
        <f t="shared" si="14"/>
        <v>1557</v>
      </c>
      <c r="AJ37" s="31">
        <f t="shared" si="15"/>
        <v>-30</v>
      </c>
    </row>
    <row r="38" spans="1:36">
      <c r="A38" s="89">
        <v>35</v>
      </c>
      <c r="B38" s="89">
        <v>399</v>
      </c>
      <c r="C38" s="21" t="s">
        <v>135</v>
      </c>
      <c r="D38" s="89" t="s">
        <v>104</v>
      </c>
      <c r="E38" s="89" t="s">
        <v>127</v>
      </c>
      <c r="F38" s="89">
        <v>12</v>
      </c>
      <c r="G38" s="89">
        <v>13</v>
      </c>
      <c r="H38" s="89">
        <f>VLOOKUP(B:B,'[4]SQL Results'!$B$1:$L$65536,11,0)</f>
        <v>4</v>
      </c>
      <c r="I38" s="89">
        <f t="shared" si="11"/>
        <v>-8</v>
      </c>
      <c r="J38" s="89" t="s">
        <v>274</v>
      </c>
      <c r="K38" s="89">
        <f>H38*1</f>
        <v>4</v>
      </c>
      <c r="L38" s="89">
        <f>I38*1</f>
        <v>-8</v>
      </c>
      <c r="M38" s="89">
        <v>165</v>
      </c>
      <c r="N38" s="33">
        <v>183</v>
      </c>
      <c r="O38" s="33">
        <v>92</v>
      </c>
      <c r="P38" s="33">
        <f t="shared" si="9"/>
        <v>-73</v>
      </c>
      <c r="Q38" s="33" t="s">
        <v>274</v>
      </c>
      <c r="R38" s="33">
        <f>O38*0.8</f>
        <v>73.6</v>
      </c>
      <c r="S38" s="33">
        <f>P38*0.6</f>
        <v>-43.8</v>
      </c>
      <c r="T38" s="33">
        <v>16</v>
      </c>
      <c r="U38" s="33">
        <v>18</v>
      </c>
      <c r="V38" s="33">
        <f>VLOOKUP(B:B,'[4]SQL Results'!$B$1:$Q$65536,16,0)</f>
        <v>12</v>
      </c>
      <c r="W38" s="33">
        <f>VLOOKUP(B:B,'[4]SQL Results'!$B$1:$P$65536,15,0)</f>
        <v>3295.88</v>
      </c>
      <c r="X38" s="33">
        <f t="shared" si="12"/>
        <v>-4</v>
      </c>
      <c r="Y38" s="33" t="s">
        <v>274</v>
      </c>
      <c r="Z38" s="33">
        <f>W38*0.05</f>
        <v>164.794</v>
      </c>
      <c r="AA38" s="33">
        <f>X38*8</f>
        <v>-32</v>
      </c>
      <c r="AB38" s="33">
        <v>5735</v>
      </c>
      <c r="AC38" s="33">
        <v>6372</v>
      </c>
      <c r="AD38" s="31">
        <v>3002.5</v>
      </c>
      <c r="AE38" s="99">
        <f t="shared" si="13"/>
        <v>-2732.5</v>
      </c>
      <c r="AF38" s="99" t="s">
        <v>274</v>
      </c>
      <c r="AG38" s="99">
        <f>AD38*0.05</f>
        <v>150.125</v>
      </c>
      <c r="AH38" s="99">
        <f>AE38*0.04</f>
        <v>-109.3</v>
      </c>
      <c r="AI38" s="31">
        <f t="shared" si="14"/>
        <v>393</v>
      </c>
      <c r="AJ38" s="31">
        <f t="shared" si="15"/>
        <v>-193</v>
      </c>
    </row>
    <row r="39" spans="1:36">
      <c r="A39" s="89">
        <v>36</v>
      </c>
      <c r="B39" s="89">
        <v>573</v>
      </c>
      <c r="C39" s="21" t="s">
        <v>136</v>
      </c>
      <c r="D39" s="89" t="s">
        <v>107</v>
      </c>
      <c r="E39" s="89" t="s">
        <v>127</v>
      </c>
      <c r="F39" s="89">
        <v>5</v>
      </c>
      <c r="G39" s="89">
        <v>6</v>
      </c>
      <c r="H39" s="89">
        <f>VLOOKUP(B:B,'[4]SQL Results'!$B$1:$L$65536,11,0)</f>
        <v>2</v>
      </c>
      <c r="I39" s="89">
        <f t="shared" si="11"/>
        <v>-3</v>
      </c>
      <c r="J39" s="89" t="s">
        <v>274</v>
      </c>
      <c r="K39" s="89">
        <f>H39*1</f>
        <v>2</v>
      </c>
      <c r="L39" s="89">
        <f>I39*1</f>
        <v>-3</v>
      </c>
      <c r="M39" s="89">
        <v>102</v>
      </c>
      <c r="N39" s="33">
        <v>113</v>
      </c>
      <c r="O39" s="33">
        <v>112</v>
      </c>
      <c r="P39" s="33">
        <f t="shared" si="9"/>
        <v>10</v>
      </c>
      <c r="Q39" s="33" t="s">
        <v>20</v>
      </c>
      <c r="R39" s="33">
        <f>O39*1.5</f>
        <v>168</v>
      </c>
      <c r="S39" s="33"/>
      <c r="T39" s="33">
        <v>6</v>
      </c>
      <c r="U39" s="33">
        <v>7</v>
      </c>
      <c r="V39" s="33">
        <f>VLOOKUP(B:B,'[4]SQL Results'!$B$1:$Q$65536,16,0)</f>
        <v>11</v>
      </c>
      <c r="W39" s="33">
        <f>VLOOKUP(B:B,'[4]SQL Results'!$B$1:$P$65536,15,0)</f>
        <v>2637.18</v>
      </c>
      <c r="X39" s="33">
        <f t="shared" si="12"/>
        <v>5</v>
      </c>
      <c r="Y39" s="33" t="s">
        <v>21</v>
      </c>
      <c r="Z39" s="33">
        <f>W39*0.1</f>
        <v>263.718</v>
      </c>
      <c r="AA39" s="33"/>
      <c r="AB39" s="33">
        <v>1228</v>
      </c>
      <c r="AC39" s="33">
        <v>1364</v>
      </c>
      <c r="AD39" s="31">
        <v>1409.1</v>
      </c>
      <c r="AE39" s="99">
        <f t="shared" si="13"/>
        <v>181.1</v>
      </c>
      <c r="AF39" s="99" t="s">
        <v>21</v>
      </c>
      <c r="AG39" s="99">
        <f>AD39*0.09</f>
        <v>126.819</v>
      </c>
      <c r="AH39" s="99"/>
      <c r="AI39" s="31">
        <f t="shared" si="14"/>
        <v>561</v>
      </c>
      <c r="AJ39" s="31">
        <f t="shared" si="15"/>
        <v>-3</v>
      </c>
    </row>
    <row r="40" spans="1:36">
      <c r="A40" s="89">
        <v>37</v>
      </c>
      <c r="B40" s="89">
        <v>377</v>
      </c>
      <c r="C40" s="21" t="s">
        <v>137</v>
      </c>
      <c r="D40" s="89" t="s">
        <v>104</v>
      </c>
      <c r="E40" s="89" t="s">
        <v>127</v>
      </c>
      <c r="F40" s="89">
        <v>12</v>
      </c>
      <c r="G40" s="89">
        <v>13</v>
      </c>
      <c r="H40" s="89">
        <f>VLOOKUP(B:B,'[4]SQL Results'!$B$1:$L$65536,11,0)</f>
        <v>1</v>
      </c>
      <c r="I40" s="89">
        <f t="shared" si="11"/>
        <v>-11</v>
      </c>
      <c r="J40" s="89" t="s">
        <v>274</v>
      </c>
      <c r="K40" s="89">
        <f>H40*1</f>
        <v>1</v>
      </c>
      <c r="L40" s="89">
        <f>I40*1</f>
        <v>-11</v>
      </c>
      <c r="M40" s="89">
        <v>178</v>
      </c>
      <c r="N40" s="33">
        <v>198</v>
      </c>
      <c r="O40" s="33">
        <v>107</v>
      </c>
      <c r="P40" s="33">
        <f t="shared" si="9"/>
        <v>-71</v>
      </c>
      <c r="Q40" s="33" t="s">
        <v>274</v>
      </c>
      <c r="R40" s="33">
        <f>O40*0.8</f>
        <v>85.6</v>
      </c>
      <c r="S40" s="33">
        <f>P40*0.6</f>
        <v>-42.6</v>
      </c>
      <c r="T40" s="33">
        <v>8</v>
      </c>
      <c r="U40" s="33">
        <v>9</v>
      </c>
      <c r="V40" s="33">
        <f>VLOOKUP(B:B,'[4]SQL Results'!$B$1:$Q$65536,16,0)</f>
        <v>1</v>
      </c>
      <c r="W40" s="33">
        <f>VLOOKUP(B:B,'[4]SQL Results'!$B$1:$P$65536,15,0)</f>
        <v>288</v>
      </c>
      <c r="X40" s="33">
        <f t="shared" si="12"/>
        <v>-7</v>
      </c>
      <c r="Y40" s="33" t="s">
        <v>274</v>
      </c>
      <c r="Z40" s="33">
        <f>W40*0.05</f>
        <v>14.4</v>
      </c>
      <c r="AA40" s="33">
        <f>X40*8</f>
        <v>-56</v>
      </c>
      <c r="AB40" s="33">
        <v>2532</v>
      </c>
      <c r="AC40" s="33">
        <v>2813</v>
      </c>
      <c r="AD40" s="31">
        <v>910</v>
      </c>
      <c r="AE40" s="99">
        <f t="shared" si="13"/>
        <v>-1622</v>
      </c>
      <c r="AF40" s="99" t="s">
        <v>274</v>
      </c>
      <c r="AG40" s="99">
        <f>AD40*0.05</f>
        <v>45.5</v>
      </c>
      <c r="AH40" s="99">
        <f>AE40*0.04</f>
        <v>-64.88</v>
      </c>
      <c r="AI40" s="31">
        <f t="shared" si="14"/>
        <v>147</v>
      </c>
      <c r="AJ40" s="31">
        <f t="shared" si="15"/>
        <v>-174</v>
      </c>
    </row>
    <row r="41" spans="1:36">
      <c r="A41" s="89">
        <v>38</v>
      </c>
      <c r="B41" s="89">
        <v>743</v>
      </c>
      <c r="C41" s="21" t="s">
        <v>138</v>
      </c>
      <c r="D41" s="89" t="s">
        <v>139</v>
      </c>
      <c r="E41" s="89" t="s">
        <v>127</v>
      </c>
      <c r="F41" s="89">
        <v>7</v>
      </c>
      <c r="G41" s="89">
        <v>8</v>
      </c>
      <c r="H41" s="89">
        <f>VLOOKUP(B:B,'[4]SQL Results'!$B$1:$L$65536,11,0)</f>
        <v>20</v>
      </c>
      <c r="I41" s="89">
        <f t="shared" si="11"/>
        <v>13</v>
      </c>
      <c r="J41" s="89" t="s">
        <v>21</v>
      </c>
      <c r="K41" s="89">
        <f>H41*3.5</f>
        <v>70</v>
      </c>
      <c r="L41" s="89"/>
      <c r="M41" s="89">
        <v>89</v>
      </c>
      <c r="N41" s="33">
        <v>99</v>
      </c>
      <c r="O41" s="33">
        <v>104</v>
      </c>
      <c r="P41" s="33">
        <f t="shared" si="9"/>
        <v>15</v>
      </c>
      <c r="Q41" s="33" t="s">
        <v>21</v>
      </c>
      <c r="R41" s="33">
        <f>O41*2.5</f>
        <v>260</v>
      </c>
      <c r="S41" s="33"/>
      <c r="T41" s="33">
        <v>6</v>
      </c>
      <c r="U41" s="33">
        <v>7</v>
      </c>
      <c r="V41" s="33">
        <f>VLOOKUP(B:B,'[4]SQL Results'!$B$1:$Q$65536,16,0)</f>
        <v>3</v>
      </c>
      <c r="W41" s="33">
        <f>VLOOKUP(B:B,'[4]SQL Results'!$B$1:$P$65536,15,0)</f>
        <v>776</v>
      </c>
      <c r="X41" s="33">
        <f t="shared" si="12"/>
        <v>-3</v>
      </c>
      <c r="Y41" s="33" t="s">
        <v>274</v>
      </c>
      <c r="Z41" s="33">
        <f>W41*0.05</f>
        <v>38.8</v>
      </c>
      <c r="AA41" s="33">
        <f>X41*8</f>
        <v>-24</v>
      </c>
      <c r="AB41" s="33">
        <v>2549</v>
      </c>
      <c r="AC41" s="33">
        <v>2832</v>
      </c>
      <c r="AD41" s="31">
        <v>1610.23</v>
      </c>
      <c r="AE41" s="99">
        <f t="shared" si="13"/>
        <v>-938.77</v>
      </c>
      <c r="AF41" s="99" t="s">
        <v>274</v>
      </c>
      <c r="AG41" s="99">
        <f>AD41*0.05</f>
        <v>80.5115</v>
      </c>
      <c r="AH41" s="99">
        <f>AE41*0.04</f>
        <v>-37.5508</v>
      </c>
      <c r="AI41" s="31">
        <f t="shared" si="14"/>
        <v>449</v>
      </c>
      <c r="AJ41" s="31">
        <f t="shared" si="15"/>
        <v>-62</v>
      </c>
    </row>
    <row r="42" spans="1:36">
      <c r="A42" s="89">
        <v>39</v>
      </c>
      <c r="B42" s="89">
        <v>584</v>
      </c>
      <c r="C42" s="21" t="s">
        <v>140</v>
      </c>
      <c r="D42" s="89" t="s">
        <v>139</v>
      </c>
      <c r="E42" s="89" t="s">
        <v>127</v>
      </c>
      <c r="F42" s="89">
        <v>4</v>
      </c>
      <c r="G42" s="89">
        <v>4</v>
      </c>
      <c r="H42" s="89">
        <f>VLOOKUP(B:B,'[4]SQL Results'!$B$1:$L$65536,11,0)</f>
        <v>5</v>
      </c>
      <c r="I42" s="89">
        <f t="shared" si="11"/>
        <v>1</v>
      </c>
      <c r="J42" s="89" t="s">
        <v>21</v>
      </c>
      <c r="K42" s="89">
        <f>H42*3.5</f>
        <v>17.5</v>
      </c>
      <c r="L42" s="89"/>
      <c r="M42" s="89">
        <v>60</v>
      </c>
      <c r="N42" s="33">
        <v>67</v>
      </c>
      <c r="O42" s="33">
        <v>66</v>
      </c>
      <c r="P42" s="33">
        <f t="shared" si="9"/>
        <v>6</v>
      </c>
      <c r="Q42" s="33" t="s">
        <v>20</v>
      </c>
      <c r="R42" s="33">
        <f>O42*1.5</f>
        <v>99</v>
      </c>
      <c r="S42" s="33"/>
      <c r="T42" s="33">
        <v>8</v>
      </c>
      <c r="U42" s="33">
        <v>9</v>
      </c>
      <c r="V42" s="33">
        <f>VLOOKUP(B:B,'[4]SQL Results'!$B$1:$Q$65536,16,0)</f>
        <v>8</v>
      </c>
      <c r="W42" s="33">
        <f>VLOOKUP(B:B,'[4]SQL Results'!$B$1:$P$65536,15,0)</f>
        <v>1475.68</v>
      </c>
      <c r="X42" s="33">
        <f t="shared" si="12"/>
        <v>0</v>
      </c>
      <c r="Y42" s="33" t="s">
        <v>20</v>
      </c>
      <c r="Z42" s="33">
        <f>W42*0.08</f>
        <v>118.0544</v>
      </c>
      <c r="AA42" s="33"/>
      <c r="AB42" s="33">
        <v>1760</v>
      </c>
      <c r="AC42" s="33">
        <v>1955</v>
      </c>
      <c r="AD42" s="31">
        <v>2937.25</v>
      </c>
      <c r="AE42" s="99">
        <f t="shared" si="13"/>
        <v>1177.25</v>
      </c>
      <c r="AF42" s="99" t="s">
        <v>21</v>
      </c>
      <c r="AG42" s="99">
        <f>AD42*0.09</f>
        <v>264.3525</v>
      </c>
      <c r="AH42" s="99"/>
      <c r="AI42" s="31">
        <f t="shared" si="14"/>
        <v>499</v>
      </c>
      <c r="AJ42" s="31">
        <f t="shared" si="15"/>
        <v>0</v>
      </c>
    </row>
    <row r="43" spans="1:36">
      <c r="A43" s="89">
        <v>40</v>
      </c>
      <c r="B43" s="89">
        <v>737</v>
      </c>
      <c r="C43" s="21" t="s">
        <v>141</v>
      </c>
      <c r="D43" s="89" t="s">
        <v>107</v>
      </c>
      <c r="E43" s="89" t="s">
        <v>127</v>
      </c>
      <c r="F43" s="89">
        <v>8</v>
      </c>
      <c r="G43" s="89">
        <v>9</v>
      </c>
      <c r="H43" s="89">
        <f>VLOOKUP(B:B,'[4]SQL Results'!$B$1:$L$65536,11,0)</f>
        <v>3</v>
      </c>
      <c r="I43" s="89">
        <f t="shared" si="11"/>
        <v>-5</v>
      </c>
      <c r="J43" s="89" t="s">
        <v>274</v>
      </c>
      <c r="K43" s="89">
        <f>H43*1</f>
        <v>3</v>
      </c>
      <c r="L43" s="89">
        <f>I43*1</f>
        <v>-5</v>
      </c>
      <c r="M43" s="89">
        <v>145</v>
      </c>
      <c r="N43" s="33">
        <v>161</v>
      </c>
      <c r="O43" s="33">
        <v>216</v>
      </c>
      <c r="P43" s="33">
        <f t="shared" si="9"/>
        <v>71</v>
      </c>
      <c r="Q43" s="33" t="s">
        <v>21</v>
      </c>
      <c r="R43" s="33">
        <f>O43*2.5</f>
        <v>540</v>
      </c>
      <c r="S43" s="33"/>
      <c r="T43" s="33">
        <v>12</v>
      </c>
      <c r="U43" s="33">
        <v>13</v>
      </c>
      <c r="V43" s="33">
        <f>VLOOKUP(B:B,'[4]SQL Results'!$B$1:$Q$65536,16,0)</f>
        <v>26</v>
      </c>
      <c r="W43" s="33">
        <f>VLOOKUP(B:B,'[4]SQL Results'!$B$1:$P$65536,15,0)</f>
        <v>4406</v>
      </c>
      <c r="X43" s="33">
        <f t="shared" si="12"/>
        <v>14</v>
      </c>
      <c r="Y43" s="33" t="s">
        <v>21</v>
      </c>
      <c r="Z43" s="33">
        <f>W43*0.1</f>
        <v>440.6</v>
      </c>
      <c r="AA43" s="33"/>
      <c r="AB43" s="33">
        <v>2475</v>
      </c>
      <c r="AC43" s="33">
        <v>2750</v>
      </c>
      <c r="AD43" s="31">
        <v>2301</v>
      </c>
      <c r="AE43" s="99">
        <f t="shared" si="13"/>
        <v>-174</v>
      </c>
      <c r="AF43" s="99" t="s">
        <v>274</v>
      </c>
      <c r="AG43" s="99">
        <f>AD43*0.05</f>
        <v>115.05</v>
      </c>
      <c r="AH43" s="99">
        <f>AE43*0.04</f>
        <v>-6.96</v>
      </c>
      <c r="AI43" s="31">
        <f t="shared" si="14"/>
        <v>1099</v>
      </c>
      <c r="AJ43" s="31">
        <f t="shared" si="15"/>
        <v>-12</v>
      </c>
    </row>
    <row r="44" spans="1:36">
      <c r="A44" s="89">
        <v>41</v>
      </c>
      <c r="B44" s="89">
        <v>733</v>
      </c>
      <c r="C44" s="21" t="s">
        <v>142</v>
      </c>
      <c r="D44" s="89" t="s">
        <v>139</v>
      </c>
      <c r="E44" s="89" t="s">
        <v>127</v>
      </c>
      <c r="F44" s="89">
        <v>5</v>
      </c>
      <c r="G44" s="89">
        <v>5</v>
      </c>
      <c r="H44" s="89">
        <f>VLOOKUP(B:B,'[4]SQL Results'!$B$1:$L$65536,11,0)</f>
        <v>1</v>
      </c>
      <c r="I44" s="89">
        <f t="shared" si="11"/>
        <v>-4</v>
      </c>
      <c r="J44" s="89" t="s">
        <v>274</v>
      </c>
      <c r="K44" s="89">
        <f>H44*1</f>
        <v>1</v>
      </c>
      <c r="L44" s="89">
        <f>I44*1</f>
        <v>-4</v>
      </c>
      <c r="M44" s="89">
        <v>41</v>
      </c>
      <c r="N44" s="33">
        <v>46</v>
      </c>
      <c r="O44" s="33">
        <v>66</v>
      </c>
      <c r="P44" s="33">
        <f t="shared" si="9"/>
        <v>25</v>
      </c>
      <c r="Q44" s="33" t="s">
        <v>21</v>
      </c>
      <c r="R44" s="33">
        <f>O44*2.5</f>
        <v>165</v>
      </c>
      <c r="S44" s="33"/>
      <c r="T44" s="33">
        <v>7</v>
      </c>
      <c r="U44" s="33">
        <v>8</v>
      </c>
      <c r="V44" s="33">
        <f>VLOOKUP(B:B,'[4]SQL Results'!$B$1:$Q$65536,16,0)</f>
        <v>1</v>
      </c>
      <c r="W44" s="33">
        <f>VLOOKUP(B:B,'[4]SQL Results'!$B$1:$P$65536,15,0)</f>
        <v>288</v>
      </c>
      <c r="X44" s="33">
        <f t="shared" si="12"/>
        <v>-6</v>
      </c>
      <c r="Y44" s="33" t="s">
        <v>274</v>
      </c>
      <c r="Z44" s="33">
        <f>W44*0.05</f>
        <v>14.4</v>
      </c>
      <c r="AA44" s="33">
        <f>X44*8</f>
        <v>-48</v>
      </c>
      <c r="AB44" s="33">
        <v>331</v>
      </c>
      <c r="AC44" s="33">
        <v>368</v>
      </c>
      <c r="AD44" s="31">
        <v>1403</v>
      </c>
      <c r="AE44" s="99">
        <f t="shared" si="13"/>
        <v>1072</v>
      </c>
      <c r="AF44" s="99" t="s">
        <v>21</v>
      </c>
      <c r="AG44" s="99">
        <f>AD44*0.09</f>
        <v>126.27</v>
      </c>
      <c r="AH44" s="99"/>
      <c r="AI44" s="31">
        <f t="shared" si="14"/>
        <v>307</v>
      </c>
      <c r="AJ44" s="31">
        <f t="shared" si="15"/>
        <v>-52</v>
      </c>
    </row>
    <row r="45" spans="1:36">
      <c r="A45" s="89">
        <v>42</v>
      </c>
      <c r="B45" s="89">
        <v>740</v>
      </c>
      <c r="C45" s="21" t="s">
        <v>143</v>
      </c>
      <c r="D45" s="89" t="s">
        <v>113</v>
      </c>
      <c r="E45" s="89" t="s">
        <v>127</v>
      </c>
      <c r="F45" s="89">
        <v>5</v>
      </c>
      <c r="G45" s="89">
        <v>5</v>
      </c>
      <c r="H45" s="89">
        <f>VLOOKUP(B:B,'[4]SQL Results'!$B$1:$L$65536,11,0)</f>
        <v>5</v>
      </c>
      <c r="I45" s="89">
        <f t="shared" si="11"/>
        <v>0</v>
      </c>
      <c r="J45" s="89" t="s">
        <v>21</v>
      </c>
      <c r="K45" s="89">
        <f>H45*3.5</f>
        <v>17.5</v>
      </c>
      <c r="L45" s="89"/>
      <c r="M45" s="89">
        <v>61</v>
      </c>
      <c r="N45" s="33">
        <v>68</v>
      </c>
      <c r="O45" s="33">
        <v>77</v>
      </c>
      <c r="P45" s="33">
        <f t="shared" ref="P45:P76" si="16">O45-M45</f>
        <v>16</v>
      </c>
      <c r="Q45" s="33" t="s">
        <v>21</v>
      </c>
      <c r="R45" s="33">
        <f>O45*2.5</f>
        <v>192.5</v>
      </c>
      <c r="S45" s="33"/>
      <c r="T45" s="33">
        <v>5</v>
      </c>
      <c r="U45" s="33">
        <v>5</v>
      </c>
      <c r="V45" s="33">
        <f>VLOOKUP(B:B,'[4]SQL Results'!$B$1:$Q$65536,16,0)</f>
        <v>6</v>
      </c>
      <c r="W45" s="33">
        <f>VLOOKUP(B:B,'[4]SQL Results'!$B$1:$P$65536,15,0)</f>
        <v>896.64</v>
      </c>
      <c r="X45" s="33">
        <f t="shared" si="12"/>
        <v>1</v>
      </c>
      <c r="Y45" s="33" t="s">
        <v>21</v>
      </c>
      <c r="Z45" s="33">
        <f>W45*0.1</f>
        <v>89.664</v>
      </c>
      <c r="AA45" s="33"/>
      <c r="AB45" s="33">
        <v>4460</v>
      </c>
      <c r="AC45" s="33">
        <v>4956</v>
      </c>
      <c r="AD45" s="31">
        <v>1646.5</v>
      </c>
      <c r="AE45" s="99">
        <f t="shared" si="13"/>
        <v>-2813.5</v>
      </c>
      <c r="AF45" s="99" t="s">
        <v>274</v>
      </c>
      <c r="AG45" s="99">
        <f>AD45*0.05</f>
        <v>82.325</v>
      </c>
      <c r="AH45" s="99">
        <f>AE45*0.04</f>
        <v>-112.54</v>
      </c>
      <c r="AI45" s="31">
        <f t="shared" si="14"/>
        <v>382</v>
      </c>
      <c r="AJ45" s="31">
        <f t="shared" si="15"/>
        <v>-113</v>
      </c>
    </row>
    <row r="46" spans="1:36">
      <c r="A46" s="89">
        <v>43</v>
      </c>
      <c r="B46" s="89">
        <v>545</v>
      </c>
      <c r="C46" s="21" t="s">
        <v>144</v>
      </c>
      <c r="D46" s="89" t="s">
        <v>113</v>
      </c>
      <c r="E46" s="89" t="s">
        <v>127</v>
      </c>
      <c r="F46" s="89">
        <v>10</v>
      </c>
      <c r="G46" s="89">
        <v>11</v>
      </c>
      <c r="H46" s="89">
        <f>VLOOKUP(B:B,'[4]SQL Results'!$B$1:$L$65536,11,0)</f>
        <v>17</v>
      </c>
      <c r="I46" s="89">
        <f t="shared" si="11"/>
        <v>7</v>
      </c>
      <c r="J46" s="89" t="s">
        <v>21</v>
      </c>
      <c r="K46" s="89">
        <f>H46*3.5</f>
        <v>59.5</v>
      </c>
      <c r="L46" s="89"/>
      <c r="M46" s="89">
        <v>82</v>
      </c>
      <c r="N46" s="33">
        <v>91</v>
      </c>
      <c r="O46" s="33">
        <v>40</v>
      </c>
      <c r="P46" s="33">
        <f t="shared" si="16"/>
        <v>-42</v>
      </c>
      <c r="Q46" s="33" t="s">
        <v>274</v>
      </c>
      <c r="R46" s="33">
        <f>O46*0.8</f>
        <v>32</v>
      </c>
      <c r="S46" s="33">
        <f>P46*0.6</f>
        <v>-25.2</v>
      </c>
      <c r="T46" s="33">
        <v>5</v>
      </c>
      <c r="U46" s="33">
        <v>5</v>
      </c>
      <c r="V46" s="33">
        <f>VLOOKUP(B:B,'[4]SQL Results'!$B$1:$Q$65536,16,0)</f>
        <v>9</v>
      </c>
      <c r="W46" s="33">
        <f>VLOOKUP(B:B,'[4]SQL Results'!$B$1:$P$65536,15,0)</f>
        <v>1766.53</v>
      </c>
      <c r="X46" s="33">
        <f t="shared" si="12"/>
        <v>4</v>
      </c>
      <c r="Y46" s="33" t="s">
        <v>21</v>
      </c>
      <c r="Z46" s="33">
        <f>W46*0.1</f>
        <v>176.653</v>
      </c>
      <c r="AA46" s="33"/>
      <c r="AB46" s="33">
        <v>2286</v>
      </c>
      <c r="AC46" s="33">
        <v>2540</v>
      </c>
      <c r="AD46" s="31">
        <v>4745.3</v>
      </c>
      <c r="AE46" s="99">
        <f t="shared" si="13"/>
        <v>2459.3</v>
      </c>
      <c r="AF46" s="99" t="s">
        <v>21</v>
      </c>
      <c r="AG46" s="99">
        <f>AD46*0.09</f>
        <v>427.077</v>
      </c>
      <c r="AH46" s="99"/>
      <c r="AI46" s="31">
        <f t="shared" si="14"/>
        <v>695</v>
      </c>
      <c r="AJ46" s="31">
        <f t="shared" si="15"/>
        <v>-25</v>
      </c>
    </row>
    <row r="47" spans="1:36">
      <c r="A47" s="89">
        <v>44</v>
      </c>
      <c r="B47" s="90">
        <v>753</v>
      </c>
      <c r="C47" s="21" t="s">
        <v>145</v>
      </c>
      <c r="D47" s="90" t="s">
        <v>113</v>
      </c>
      <c r="E47" s="90" t="s">
        <v>127</v>
      </c>
      <c r="F47" s="89">
        <v>4</v>
      </c>
      <c r="G47" s="89">
        <v>4</v>
      </c>
      <c r="H47" s="89">
        <v>0</v>
      </c>
      <c r="I47" s="89">
        <f t="shared" si="11"/>
        <v>-4</v>
      </c>
      <c r="J47" s="89" t="s">
        <v>274</v>
      </c>
      <c r="K47" s="89"/>
      <c r="L47" s="89">
        <f>I47*1</f>
        <v>-4</v>
      </c>
      <c r="M47" s="89">
        <v>32</v>
      </c>
      <c r="N47" s="33">
        <v>36</v>
      </c>
      <c r="O47" s="33">
        <v>41</v>
      </c>
      <c r="P47" s="33">
        <f t="shared" si="16"/>
        <v>9</v>
      </c>
      <c r="Q47" s="33" t="s">
        <v>21</v>
      </c>
      <c r="R47" s="33">
        <f>O47*2.5</f>
        <v>102.5</v>
      </c>
      <c r="S47" s="33"/>
      <c r="T47" s="33">
        <v>5</v>
      </c>
      <c r="U47" s="33">
        <v>5</v>
      </c>
      <c r="V47" s="33">
        <f>VLOOKUP(B:B,'[4]SQL Results'!$B$1:$Q$65536,16,0)</f>
        <v>4</v>
      </c>
      <c r="W47" s="33">
        <f>VLOOKUP(B:B,'[4]SQL Results'!$B$1:$P$65536,15,0)</f>
        <v>1064</v>
      </c>
      <c r="X47" s="33">
        <f t="shared" si="12"/>
        <v>-1</v>
      </c>
      <c r="Y47" s="33" t="s">
        <v>274</v>
      </c>
      <c r="Z47" s="33">
        <f>W47*0.05</f>
        <v>53.2</v>
      </c>
      <c r="AA47" s="33">
        <f>X47*8</f>
        <v>-8</v>
      </c>
      <c r="AB47" s="33">
        <v>958</v>
      </c>
      <c r="AC47" s="33">
        <v>1064</v>
      </c>
      <c r="AD47" s="31">
        <v>102</v>
      </c>
      <c r="AE47" s="99">
        <f t="shared" si="13"/>
        <v>-856</v>
      </c>
      <c r="AF47" s="99" t="s">
        <v>274</v>
      </c>
      <c r="AG47" s="99">
        <f>AD47*0.05</f>
        <v>5.1</v>
      </c>
      <c r="AH47" s="99">
        <f>AE47*0.04</f>
        <v>-34.24</v>
      </c>
      <c r="AI47" s="31">
        <f t="shared" si="14"/>
        <v>161</v>
      </c>
      <c r="AJ47" s="31">
        <f t="shared" si="15"/>
        <v>-46</v>
      </c>
    </row>
    <row r="48" spans="1:36">
      <c r="A48" s="89">
        <v>45</v>
      </c>
      <c r="B48" s="91">
        <v>103639</v>
      </c>
      <c r="C48" s="21" t="s">
        <v>146</v>
      </c>
      <c r="D48" s="89" t="s">
        <v>109</v>
      </c>
      <c r="E48" s="89" t="s">
        <v>127</v>
      </c>
      <c r="F48" s="89">
        <v>8</v>
      </c>
      <c r="G48" s="89">
        <v>9</v>
      </c>
      <c r="H48" s="89">
        <f>VLOOKUP(B:B,'[4]SQL Results'!$B$1:$L$65536,11,0)</f>
        <v>11</v>
      </c>
      <c r="I48" s="89">
        <f t="shared" si="11"/>
        <v>3</v>
      </c>
      <c r="J48" s="89" t="s">
        <v>21</v>
      </c>
      <c r="K48" s="89">
        <f>H48*3.5</f>
        <v>38.5</v>
      </c>
      <c r="L48" s="89"/>
      <c r="M48" s="89">
        <v>60</v>
      </c>
      <c r="N48" s="33">
        <v>67</v>
      </c>
      <c r="O48" s="33">
        <v>147</v>
      </c>
      <c r="P48" s="33">
        <f t="shared" si="16"/>
        <v>87</v>
      </c>
      <c r="Q48" s="33" t="s">
        <v>21</v>
      </c>
      <c r="R48" s="33">
        <f>O48*2.5</f>
        <v>367.5</v>
      </c>
      <c r="S48" s="33"/>
      <c r="T48" s="33">
        <v>4</v>
      </c>
      <c r="U48" s="33">
        <v>4</v>
      </c>
      <c r="V48" s="33">
        <f>VLOOKUP(B:B,'[4]SQL Results'!$B$1:$Q$65536,16,0)</f>
        <v>22</v>
      </c>
      <c r="W48" s="33">
        <f>VLOOKUP(B:B,'[4]SQL Results'!$B$1:$P$65536,15,0)</f>
        <v>4963.88</v>
      </c>
      <c r="X48" s="33">
        <f t="shared" si="12"/>
        <v>18</v>
      </c>
      <c r="Y48" s="33" t="s">
        <v>21</v>
      </c>
      <c r="Z48" s="33">
        <f>W48*0.1</f>
        <v>496.388</v>
      </c>
      <c r="AA48" s="33"/>
      <c r="AB48" s="33">
        <v>987</v>
      </c>
      <c r="AC48" s="33">
        <v>1097</v>
      </c>
      <c r="AD48" s="31">
        <v>1508.62</v>
      </c>
      <c r="AE48" s="99">
        <f t="shared" si="13"/>
        <v>521.62</v>
      </c>
      <c r="AF48" s="99" t="s">
        <v>21</v>
      </c>
      <c r="AG48" s="99">
        <f>AD48*0.09</f>
        <v>135.7758</v>
      </c>
      <c r="AH48" s="99"/>
      <c r="AI48" s="31">
        <f t="shared" si="14"/>
        <v>1038</v>
      </c>
      <c r="AJ48" s="31">
        <f t="shared" si="15"/>
        <v>0</v>
      </c>
    </row>
    <row r="49" spans="1:36">
      <c r="A49" s="89">
        <v>46</v>
      </c>
      <c r="B49" s="91">
        <v>104430</v>
      </c>
      <c r="C49" s="24" t="s">
        <v>147</v>
      </c>
      <c r="D49" s="92"/>
      <c r="E49" s="92" t="s">
        <v>127</v>
      </c>
      <c r="F49" s="89">
        <v>4</v>
      </c>
      <c r="G49" s="89">
        <v>4</v>
      </c>
      <c r="H49" s="89">
        <v>0</v>
      </c>
      <c r="I49" s="89">
        <f t="shared" si="11"/>
        <v>-4</v>
      </c>
      <c r="J49" s="89" t="s">
        <v>274</v>
      </c>
      <c r="K49" s="89"/>
      <c r="L49" s="89">
        <f>I49*1</f>
        <v>-4</v>
      </c>
      <c r="M49" s="89">
        <v>32</v>
      </c>
      <c r="N49" s="33">
        <v>36</v>
      </c>
      <c r="O49" s="33">
        <v>48</v>
      </c>
      <c r="P49" s="33">
        <f t="shared" si="16"/>
        <v>16</v>
      </c>
      <c r="Q49" s="33" t="s">
        <v>21</v>
      </c>
      <c r="R49" s="33">
        <f>O49*2.5</f>
        <v>120</v>
      </c>
      <c r="S49" s="33"/>
      <c r="T49" s="33">
        <v>5</v>
      </c>
      <c r="U49" s="33">
        <v>5</v>
      </c>
      <c r="V49" s="33">
        <f>VLOOKUP(B:B,'[4]SQL Results'!$B$1:$Q$65536,16,0)</f>
        <v>3</v>
      </c>
      <c r="W49" s="33">
        <f>VLOOKUP(B:B,'[4]SQL Results'!$B$1:$P$65536,15,0)</f>
        <v>776</v>
      </c>
      <c r="X49" s="33">
        <f t="shared" si="12"/>
        <v>-2</v>
      </c>
      <c r="Y49" s="33" t="s">
        <v>274</v>
      </c>
      <c r="Z49" s="33">
        <f>W49*0.05</f>
        <v>38.8</v>
      </c>
      <c r="AA49" s="33">
        <f>X49*8</f>
        <v>-16</v>
      </c>
      <c r="AB49" s="33">
        <v>648</v>
      </c>
      <c r="AC49" s="33">
        <v>720</v>
      </c>
      <c r="AD49" s="31">
        <v>396</v>
      </c>
      <c r="AE49" s="99">
        <f t="shared" si="13"/>
        <v>-252</v>
      </c>
      <c r="AF49" s="99" t="s">
        <v>274</v>
      </c>
      <c r="AG49" s="99">
        <f>AD49*0.05</f>
        <v>19.8</v>
      </c>
      <c r="AH49" s="99">
        <f>AE49*0.04</f>
        <v>-10.08</v>
      </c>
      <c r="AI49" s="31">
        <f t="shared" si="14"/>
        <v>179</v>
      </c>
      <c r="AJ49" s="31">
        <f t="shared" si="15"/>
        <v>-30</v>
      </c>
    </row>
    <row r="50" s="79" customFormat="1" spans="1:36">
      <c r="A50" s="95"/>
      <c r="B50" s="94">
        <v>105396</v>
      </c>
      <c r="C50" s="94" t="s">
        <v>276</v>
      </c>
      <c r="D50" s="95"/>
      <c r="E50" s="96" t="s">
        <v>127</v>
      </c>
      <c r="F50" s="90"/>
      <c r="G50" s="90"/>
      <c r="H50" s="90"/>
      <c r="I50" s="90"/>
      <c r="J50" s="90"/>
      <c r="K50" s="90"/>
      <c r="L50" s="90"/>
      <c r="M50" s="90"/>
      <c r="N50" s="97"/>
      <c r="O50" s="97">
        <v>62</v>
      </c>
      <c r="P50" s="97"/>
      <c r="Q50" s="97"/>
      <c r="R50" s="97">
        <f>O50*1.5</f>
        <v>93</v>
      </c>
      <c r="S50" s="97"/>
      <c r="T50" s="97"/>
      <c r="U50" s="97"/>
      <c r="V50" s="97">
        <v>1</v>
      </c>
      <c r="W50" s="97">
        <v>168.3</v>
      </c>
      <c r="X50" s="97">
        <f t="shared" si="12"/>
        <v>1</v>
      </c>
      <c r="Y50" s="97" t="s">
        <v>20</v>
      </c>
      <c r="Z50" s="97">
        <f>W50*0.08</f>
        <v>13.464</v>
      </c>
      <c r="AA50" s="97"/>
      <c r="AB50" s="97"/>
      <c r="AC50" s="97"/>
      <c r="AD50" s="100">
        <v>172</v>
      </c>
      <c r="AE50" s="101"/>
      <c r="AF50" s="101"/>
      <c r="AG50" s="101">
        <f>AD50*0.07</f>
        <v>12.04</v>
      </c>
      <c r="AH50" s="101"/>
      <c r="AI50" s="100">
        <f t="shared" si="14"/>
        <v>119</v>
      </c>
      <c r="AJ50" s="100">
        <f t="shared" si="15"/>
        <v>0</v>
      </c>
    </row>
    <row r="51" spans="1:36">
      <c r="A51" s="89">
        <v>47</v>
      </c>
      <c r="B51" s="89">
        <v>578</v>
      </c>
      <c r="C51" s="21" t="s">
        <v>148</v>
      </c>
      <c r="D51" s="89" t="s">
        <v>95</v>
      </c>
      <c r="E51" s="89" t="s">
        <v>149</v>
      </c>
      <c r="F51" s="89">
        <v>18</v>
      </c>
      <c r="G51" s="89">
        <v>20</v>
      </c>
      <c r="H51" s="89">
        <f>VLOOKUP(B:B,'[4]SQL Results'!$B$1:$L$65536,11,0)</f>
        <v>4</v>
      </c>
      <c r="I51" s="89">
        <f t="shared" si="11"/>
        <v>-14</v>
      </c>
      <c r="J51" s="89" t="s">
        <v>274</v>
      </c>
      <c r="K51" s="89">
        <f>H51*1</f>
        <v>4</v>
      </c>
      <c r="L51" s="89">
        <f>I51*1</f>
        <v>-14</v>
      </c>
      <c r="M51" s="89">
        <v>82</v>
      </c>
      <c r="N51" s="33">
        <v>91</v>
      </c>
      <c r="O51" s="33">
        <v>131</v>
      </c>
      <c r="P51" s="33">
        <f t="shared" si="16"/>
        <v>49</v>
      </c>
      <c r="Q51" s="33" t="s">
        <v>21</v>
      </c>
      <c r="R51" s="33">
        <f>O51*2.5</f>
        <v>327.5</v>
      </c>
      <c r="S51" s="33"/>
      <c r="T51" s="33">
        <v>14</v>
      </c>
      <c r="U51" s="33">
        <v>15</v>
      </c>
      <c r="V51" s="33">
        <f>VLOOKUP(B:B,'[4]SQL Results'!$B$1:$Q$65536,16,0)</f>
        <v>7</v>
      </c>
      <c r="W51" s="33">
        <f>VLOOKUP(B:B,'[4]SQL Results'!$B$1:$P$65536,15,0)</f>
        <v>1858.52</v>
      </c>
      <c r="X51" s="33">
        <f t="shared" si="12"/>
        <v>-7</v>
      </c>
      <c r="Y51" s="33" t="s">
        <v>274</v>
      </c>
      <c r="Z51" s="33">
        <f>W51*0.05</f>
        <v>92.926</v>
      </c>
      <c r="AA51" s="33">
        <f>X51*8</f>
        <v>-56</v>
      </c>
      <c r="AB51" s="33">
        <v>1002</v>
      </c>
      <c r="AC51" s="33">
        <v>1113</v>
      </c>
      <c r="AD51" s="31">
        <v>1662.05</v>
      </c>
      <c r="AE51" s="99">
        <f t="shared" si="13"/>
        <v>660.05</v>
      </c>
      <c r="AF51" s="99" t="s">
        <v>21</v>
      </c>
      <c r="AG51" s="99">
        <f>AD51*0.09</f>
        <v>149.5845</v>
      </c>
      <c r="AH51" s="99"/>
      <c r="AI51" s="31">
        <f t="shared" si="14"/>
        <v>574</v>
      </c>
      <c r="AJ51" s="31">
        <f t="shared" si="15"/>
        <v>-70</v>
      </c>
    </row>
    <row r="52" spans="1:36">
      <c r="A52" s="89">
        <v>48</v>
      </c>
      <c r="B52" s="89">
        <v>373</v>
      </c>
      <c r="C52" s="21" t="s">
        <v>150</v>
      </c>
      <c r="D52" s="89" t="s">
        <v>104</v>
      </c>
      <c r="E52" s="89" t="s">
        <v>149</v>
      </c>
      <c r="F52" s="89">
        <v>28</v>
      </c>
      <c r="G52" s="89">
        <v>31</v>
      </c>
      <c r="H52" s="89">
        <f>VLOOKUP(B:B,'[4]SQL Results'!$B$1:$L$65536,11,0)</f>
        <v>44</v>
      </c>
      <c r="I52" s="89">
        <f t="shared" si="11"/>
        <v>16</v>
      </c>
      <c r="J52" s="89" t="s">
        <v>21</v>
      </c>
      <c r="K52" s="89">
        <f>H52*3.5</f>
        <v>154</v>
      </c>
      <c r="L52" s="89"/>
      <c r="M52" s="89">
        <v>100</v>
      </c>
      <c r="N52" s="33">
        <v>111</v>
      </c>
      <c r="O52" s="33">
        <v>55</v>
      </c>
      <c r="P52" s="33">
        <f t="shared" si="16"/>
        <v>-45</v>
      </c>
      <c r="Q52" s="33" t="s">
        <v>274</v>
      </c>
      <c r="R52" s="33">
        <f>O52*0.8</f>
        <v>44</v>
      </c>
      <c r="S52" s="33">
        <f>P52*0.6</f>
        <v>-27</v>
      </c>
      <c r="T52" s="33">
        <v>13</v>
      </c>
      <c r="U52" s="33">
        <v>14</v>
      </c>
      <c r="V52" s="33">
        <f>VLOOKUP(B:B,'[4]SQL Results'!$B$1:$Q$65536,16,0)</f>
        <v>9</v>
      </c>
      <c r="W52" s="33">
        <f>VLOOKUP(B:B,'[4]SQL Results'!$B$1:$P$65536,15,0)</f>
        <v>1947.94</v>
      </c>
      <c r="X52" s="33">
        <f t="shared" si="12"/>
        <v>-4</v>
      </c>
      <c r="Y52" s="33" t="s">
        <v>274</v>
      </c>
      <c r="Z52" s="33">
        <f>W52*0.05</f>
        <v>97.397</v>
      </c>
      <c r="AA52" s="33">
        <f>X52*8</f>
        <v>-32</v>
      </c>
      <c r="AB52" s="33">
        <v>3642</v>
      </c>
      <c r="AC52" s="33">
        <v>4047</v>
      </c>
      <c r="AD52" s="31">
        <v>1890.6</v>
      </c>
      <c r="AE52" s="99">
        <f t="shared" si="13"/>
        <v>-1751.4</v>
      </c>
      <c r="AF52" s="99" t="s">
        <v>274</v>
      </c>
      <c r="AG52" s="99">
        <f>AD52*0.05</f>
        <v>94.53</v>
      </c>
      <c r="AH52" s="99">
        <f>AE52*0.04</f>
        <v>-70.056</v>
      </c>
      <c r="AI52" s="31">
        <f t="shared" si="14"/>
        <v>390</v>
      </c>
      <c r="AJ52" s="31">
        <f t="shared" si="15"/>
        <v>-129</v>
      </c>
    </row>
    <row r="53" spans="1:36">
      <c r="A53" s="89">
        <v>49</v>
      </c>
      <c r="B53" s="89">
        <v>515</v>
      </c>
      <c r="C53" s="21" t="s">
        <v>151</v>
      </c>
      <c r="D53" s="89" t="s">
        <v>104</v>
      </c>
      <c r="E53" s="89" t="s">
        <v>149</v>
      </c>
      <c r="F53" s="89">
        <v>14</v>
      </c>
      <c r="G53" s="89">
        <v>16</v>
      </c>
      <c r="H53" s="89">
        <f>VLOOKUP(B:B,'[4]SQL Results'!$B$1:$L$65536,11,0)</f>
        <v>3</v>
      </c>
      <c r="I53" s="89">
        <f t="shared" si="11"/>
        <v>-11</v>
      </c>
      <c r="J53" s="89" t="s">
        <v>274</v>
      </c>
      <c r="K53" s="89">
        <f>H53*1</f>
        <v>3</v>
      </c>
      <c r="L53" s="89">
        <f>I53*1</f>
        <v>-11</v>
      </c>
      <c r="M53" s="89">
        <v>146</v>
      </c>
      <c r="N53" s="33">
        <v>162</v>
      </c>
      <c r="O53" s="33">
        <v>135</v>
      </c>
      <c r="P53" s="33">
        <f t="shared" si="16"/>
        <v>-11</v>
      </c>
      <c r="Q53" s="33" t="s">
        <v>274</v>
      </c>
      <c r="R53" s="33">
        <f>O53*0.8</f>
        <v>108</v>
      </c>
      <c r="S53" s="33">
        <f>P53*0.6</f>
        <v>-6.6</v>
      </c>
      <c r="T53" s="33">
        <v>7</v>
      </c>
      <c r="U53" s="33">
        <v>8</v>
      </c>
      <c r="V53" s="33">
        <f>VLOOKUP(B:B,'[4]SQL Results'!$B$1:$Q$65536,16,0)</f>
        <v>12</v>
      </c>
      <c r="W53" s="33">
        <f>VLOOKUP(B:B,'[4]SQL Results'!$B$1:$P$65536,15,0)</f>
        <v>3104</v>
      </c>
      <c r="X53" s="33">
        <f t="shared" si="12"/>
        <v>5</v>
      </c>
      <c r="Y53" s="33" t="s">
        <v>21</v>
      </c>
      <c r="Z53" s="33">
        <f>W53*0.1</f>
        <v>310.4</v>
      </c>
      <c r="AA53" s="33"/>
      <c r="AB53" s="33">
        <v>3253</v>
      </c>
      <c r="AC53" s="33">
        <v>3614</v>
      </c>
      <c r="AD53" s="31">
        <v>3669.53</v>
      </c>
      <c r="AE53" s="99">
        <f t="shared" si="13"/>
        <v>416.53</v>
      </c>
      <c r="AF53" s="99" t="s">
        <v>21</v>
      </c>
      <c r="AG53" s="99">
        <f>AD53*0.09</f>
        <v>330.2577</v>
      </c>
      <c r="AH53" s="99"/>
      <c r="AI53" s="31">
        <f t="shared" si="14"/>
        <v>752</v>
      </c>
      <c r="AJ53" s="31">
        <f t="shared" si="15"/>
        <v>-18</v>
      </c>
    </row>
    <row r="54" spans="1:36">
      <c r="A54" s="89">
        <v>50</v>
      </c>
      <c r="B54" s="89">
        <v>308</v>
      </c>
      <c r="C54" s="21" t="s">
        <v>152</v>
      </c>
      <c r="D54" s="89" t="s">
        <v>95</v>
      </c>
      <c r="E54" s="89" t="s">
        <v>149</v>
      </c>
      <c r="F54" s="89">
        <v>18</v>
      </c>
      <c r="G54" s="89">
        <v>20</v>
      </c>
      <c r="H54" s="89">
        <f>VLOOKUP(B:B,'[4]SQL Results'!$B$1:$L$65536,11,0)</f>
        <v>23</v>
      </c>
      <c r="I54" s="89">
        <f t="shared" si="11"/>
        <v>5</v>
      </c>
      <c r="J54" s="89" t="s">
        <v>21</v>
      </c>
      <c r="K54" s="89">
        <f>H54*3.5</f>
        <v>80.5</v>
      </c>
      <c r="L54" s="89"/>
      <c r="M54" s="89">
        <v>86</v>
      </c>
      <c r="N54" s="33">
        <v>95</v>
      </c>
      <c r="O54" s="33">
        <v>75</v>
      </c>
      <c r="P54" s="33">
        <f t="shared" si="16"/>
        <v>-11</v>
      </c>
      <c r="Q54" s="33" t="s">
        <v>274</v>
      </c>
      <c r="R54" s="33">
        <f>O54*0.8</f>
        <v>60</v>
      </c>
      <c r="S54" s="33">
        <f>P54*0.6</f>
        <v>-6.6</v>
      </c>
      <c r="T54" s="33">
        <v>6</v>
      </c>
      <c r="U54" s="33">
        <v>7</v>
      </c>
      <c r="V54" s="33">
        <f>VLOOKUP(B:B,'[4]SQL Results'!$B$1:$Q$65536,16,0)</f>
        <v>23</v>
      </c>
      <c r="W54" s="33">
        <f>VLOOKUP(B:B,'[4]SQL Results'!$B$1:$P$65536,15,0)</f>
        <v>6119.64</v>
      </c>
      <c r="X54" s="33">
        <f t="shared" si="12"/>
        <v>17</v>
      </c>
      <c r="Y54" s="33" t="s">
        <v>21</v>
      </c>
      <c r="Z54" s="33">
        <f>W54*0.1</f>
        <v>611.964</v>
      </c>
      <c r="AA54" s="33"/>
      <c r="AB54" s="33">
        <v>4538</v>
      </c>
      <c r="AC54" s="33">
        <v>5042</v>
      </c>
      <c r="AD54" s="31">
        <v>3300.5</v>
      </c>
      <c r="AE54" s="99">
        <f t="shared" si="13"/>
        <v>-1237.5</v>
      </c>
      <c r="AF54" s="99" t="s">
        <v>274</v>
      </c>
      <c r="AG54" s="99">
        <f>AD54*0.05</f>
        <v>165.025</v>
      </c>
      <c r="AH54" s="99">
        <f>AE54*0.04</f>
        <v>-49.5</v>
      </c>
      <c r="AI54" s="31">
        <f t="shared" si="14"/>
        <v>917</v>
      </c>
      <c r="AJ54" s="31">
        <f t="shared" si="15"/>
        <v>-56</v>
      </c>
    </row>
    <row r="55" spans="1:36">
      <c r="A55" s="89">
        <v>51</v>
      </c>
      <c r="B55" s="89">
        <v>517</v>
      </c>
      <c r="C55" s="21" t="s">
        <v>153</v>
      </c>
      <c r="D55" s="89" t="s">
        <v>92</v>
      </c>
      <c r="E55" s="89" t="s">
        <v>149</v>
      </c>
      <c r="F55" s="89">
        <v>18</v>
      </c>
      <c r="G55" s="89">
        <v>20</v>
      </c>
      <c r="H55" s="89">
        <f>VLOOKUP(B:B,'[4]SQL Results'!$B$1:$L$65536,11,0)</f>
        <v>11</v>
      </c>
      <c r="I55" s="89">
        <f t="shared" si="11"/>
        <v>-7</v>
      </c>
      <c r="J55" s="89" t="s">
        <v>274</v>
      </c>
      <c r="K55" s="89">
        <f t="shared" ref="K55:K61" si="17">H55*1</f>
        <v>11</v>
      </c>
      <c r="L55" s="89">
        <f t="shared" ref="L55:L61" si="18">I55*1</f>
        <v>-7</v>
      </c>
      <c r="M55" s="89">
        <v>57</v>
      </c>
      <c r="N55" s="33">
        <v>63</v>
      </c>
      <c r="O55" s="33">
        <v>78</v>
      </c>
      <c r="P55" s="33">
        <f t="shared" si="16"/>
        <v>21</v>
      </c>
      <c r="Q55" s="33" t="s">
        <v>21</v>
      </c>
      <c r="R55" s="33">
        <f>O55*2.5</f>
        <v>195</v>
      </c>
      <c r="S55" s="33"/>
      <c r="T55" s="33">
        <v>10</v>
      </c>
      <c r="U55" s="33">
        <v>11</v>
      </c>
      <c r="V55" s="33">
        <f>VLOOKUP(B:B,'[4]SQL Results'!$B$1:$Q$65536,16,0)</f>
        <v>16</v>
      </c>
      <c r="W55" s="33">
        <f>VLOOKUP(B:B,'[4]SQL Results'!$B$1:$P$65536,15,0)</f>
        <v>4096.94</v>
      </c>
      <c r="X55" s="33">
        <f t="shared" si="12"/>
        <v>6</v>
      </c>
      <c r="Y55" s="33" t="s">
        <v>21</v>
      </c>
      <c r="Z55" s="33">
        <f>W55*0.1</f>
        <v>409.694</v>
      </c>
      <c r="AA55" s="33"/>
      <c r="AB55" s="33">
        <v>2386</v>
      </c>
      <c r="AC55" s="33">
        <v>2651</v>
      </c>
      <c r="AD55" s="31">
        <v>827</v>
      </c>
      <c r="AE55" s="99">
        <f t="shared" si="13"/>
        <v>-1559</v>
      </c>
      <c r="AF55" s="99" t="s">
        <v>274</v>
      </c>
      <c r="AG55" s="99">
        <f>AD55*0.05</f>
        <v>41.35</v>
      </c>
      <c r="AH55" s="99">
        <f>AE55*0.04</f>
        <v>-62.36</v>
      </c>
      <c r="AI55" s="31">
        <f t="shared" si="14"/>
        <v>657</v>
      </c>
      <c r="AJ55" s="31">
        <f t="shared" si="15"/>
        <v>-69</v>
      </c>
    </row>
    <row r="56" spans="1:36">
      <c r="A56" s="89">
        <v>52</v>
      </c>
      <c r="B56" s="89">
        <v>744</v>
      </c>
      <c r="C56" s="21" t="s">
        <v>154</v>
      </c>
      <c r="D56" s="89" t="s">
        <v>95</v>
      </c>
      <c r="E56" s="89" t="s">
        <v>149</v>
      </c>
      <c r="F56" s="89">
        <v>17</v>
      </c>
      <c r="G56" s="89">
        <v>19</v>
      </c>
      <c r="H56" s="89">
        <f>VLOOKUP(B:B,'[4]SQL Results'!$B$1:$L$65536,11,0)</f>
        <v>3</v>
      </c>
      <c r="I56" s="89">
        <f t="shared" si="11"/>
        <v>-14</v>
      </c>
      <c r="J56" s="89" t="s">
        <v>274</v>
      </c>
      <c r="K56" s="89">
        <f t="shared" si="17"/>
        <v>3</v>
      </c>
      <c r="L56" s="89">
        <f t="shared" si="18"/>
        <v>-14</v>
      </c>
      <c r="M56" s="89">
        <v>69</v>
      </c>
      <c r="N56" s="33">
        <v>77</v>
      </c>
      <c r="O56" s="33">
        <v>83</v>
      </c>
      <c r="P56" s="33">
        <f t="shared" si="16"/>
        <v>14</v>
      </c>
      <c r="Q56" s="33" t="s">
        <v>21</v>
      </c>
      <c r="R56" s="33">
        <f>O56*2.5</f>
        <v>207.5</v>
      </c>
      <c r="S56" s="33"/>
      <c r="T56" s="33">
        <v>9</v>
      </c>
      <c r="U56" s="33">
        <v>10</v>
      </c>
      <c r="V56" s="33">
        <f>VLOOKUP(B:B,'[4]SQL Results'!$B$1:$Q$65536,16,0)</f>
        <v>4</v>
      </c>
      <c r="W56" s="33">
        <f>VLOOKUP(B:B,'[4]SQL Results'!$B$1:$P$65536,15,0)</f>
        <v>1114</v>
      </c>
      <c r="X56" s="33">
        <f t="shared" si="12"/>
        <v>-5</v>
      </c>
      <c r="Y56" s="33" t="s">
        <v>274</v>
      </c>
      <c r="Z56" s="33">
        <f>W56*0.05</f>
        <v>55.7</v>
      </c>
      <c r="AA56" s="33">
        <f>X56*8</f>
        <v>-40</v>
      </c>
      <c r="AB56" s="33">
        <v>2455</v>
      </c>
      <c r="AC56" s="33">
        <v>2728</v>
      </c>
      <c r="AD56" s="31">
        <v>1415.22</v>
      </c>
      <c r="AE56" s="99">
        <f t="shared" si="13"/>
        <v>-1039.78</v>
      </c>
      <c r="AF56" s="99" t="s">
        <v>274</v>
      </c>
      <c r="AG56" s="99">
        <f>AD56*0.05</f>
        <v>70.761</v>
      </c>
      <c r="AH56" s="99">
        <f>AE56*0.04</f>
        <v>-41.5912</v>
      </c>
      <c r="AI56" s="31">
        <f t="shared" si="14"/>
        <v>337</v>
      </c>
      <c r="AJ56" s="31">
        <f t="shared" si="15"/>
        <v>-96</v>
      </c>
    </row>
    <row r="57" spans="1:36">
      <c r="A57" s="89">
        <v>53</v>
      </c>
      <c r="B57" s="89">
        <v>391</v>
      </c>
      <c r="C57" s="21" t="s">
        <v>155</v>
      </c>
      <c r="D57" s="89" t="s">
        <v>104</v>
      </c>
      <c r="E57" s="89" t="s">
        <v>149</v>
      </c>
      <c r="F57" s="89">
        <v>12</v>
      </c>
      <c r="G57" s="89">
        <v>13</v>
      </c>
      <c r="H57" s="89">
        <f>VLOOKUP(B:B,'[4]SQL Results'!$B$1:$L$65536,11,0)</f>
        <v>8</v>
      </c>
      <c r="I57" s="89">
        <f t="shared" si="11"/>
        <v>-4</v>
      </c>
      <c r="J57" s="89" t="s">
        <v>274</v>
      </c>
      <c r="K57" s="89">
        <f t="shared" si="17"/>
        <v>8</v>
      </c>
      <c r="L57" s="89">
        <f t="shared" si="18"/>
        <v>-4</v>
      </c>
      <c r="M57" s="89">
        <v>126</v>
      </c>
      <c r="N57" s="33">
        <v>140</v>
      </c>
      <c r="O57" s="33">
        <v>148</v>
      </c>
      <c r="P57" s="33">
        <f t="shared" si="16"/>
        <v>22</v>
      </c>
      <c r="Q57" s="33" t="s">
        <v>21</v>
      </c>
      <c r="R57" s="33">
        <f>O57*2.5</f>
        <v>370</v>
      </c>
      <c r="S57" s="33"/>
      <c r="T57" s="33">
        <v>6</v>
      </c>
      <c r="U57" s="33">
        <v>7</v>
      </c>
      <c r="V57" s="33">
        <f>VLOOKUP(B:B,'[4]SQL Results'!$B$1:$Q$65536,16,0)</f>
        <v>17</v>
      </c>
      <c r="W57" s="33">
        <f>VLOOKUP(B:B,'[4]SQL Results'!$B$1:$P$65536,15,0)</f>
        <v>4594.04</v>
      </c>
      <c r="X57" s="33">
        <f t="shared" si="12"/>
        <v>11</v>
      </c>
      <c r="Y57" s="33" t="s">
        <v>21</v>
      </c>
      <c r="Z57" s="33">
        <f>W57*0.1</f>
        <v>459.404</v>
      </c>
      <c r="AA57" s="33"/>
      <c r="AB57" s="33">
        <v>1773</v>
      </c>
      <c r="AC57" s="33">
        <v>1970</v>
      </c>
      <c r="AD57" s="31">
        <v>2304.1</v>
      </c>
      <c r="AE57" s="99">
        <f t="shared" si="13"/>
        <v>531.1</v>
      </c>
      <c r="AF57" s="99" t="s">
        <v>21</v>
      </c>
      <c r="AG57" s="99">
        <f>AD57*0.09</f>
        <v>207.369</v>
      </c>
      <c r="AH57" s="99"/>
      <c r="AI57" s="31">
        <f t="shared" si="14"/>
        <v>1045</v>
      </c>
      <c r="AJ57" s="31">
        <f t="shared" si="15"/>
        <v>-4</v>
      </c>
    </row>
    <row r="58" spans="1:36">
      <c r="A58" s="89">
        <v>54</v>
      </c>
      <c r="B58" s="89">
        <v>355</v>
      </c>
      <c r="C58" s="21" t="s">
        <v>156</v>
      </c>
      <c r="D58" s="89" t="s">
        <v>95</v>
      </c>
      <c r="E58" s="89" t="s">
        <v>149</v>
      </c>
      <c r="F58" s="89">
        <v>13</v>
      </c>
      <c r="G58" s="89">
        <v>14</v>
      </c>
      <c r="H58" s="89">
        <f>VLOOKUP(B:B,'[4]SQL Results'!$B$1:$L$65536,11,0)</f>
        <v>1</v>
      </c>
      <c r="I58" s="89">
        <f t="shared" si="11"/>
        <v>-12</v>
      </c>
      <c r="J58" s="89" t="s">
        <v>274</v>
      </c>
      <c r="K58" s="89">
        <f t="shared" si="17"/>
        <v>1</v>
      </c>
      <c r="L58" s="89">
        <f t="shared" si="18"/>
        <v>-12</v>
      </c>
      <c r="M58" s="89">
        <v>118</v>
      </c>
      <c r="N58" s="33">
        <v>131</v>
      </c>
      <c r="O58" s="33">
        <v>84</v>
      </c>
      <c r="P58" s="33">
        <f t="shared" si="16"/>
        <v>-34</v>
      </c>
      <c r="Q58" s="33" t="s">
        <v>274</v>
      </c>
      <c r="R58" s="33">
        <f>O58*0.8</f>
        <v>67.2</v>
      </c>
      <c r="S58" s="33">
        <f>P58*0.6</f>
        <v>-20.4</v>
      </c>
      <c r="T58" s="33">
        <v>7</v>
      </c>
      <c r="U58" s="33">
        <v>8</v>
      </c>
      <c r="V58" s="33">
        <f>VLOOKUP(B:B,'[4]SQL Results'!$B$1:$Q$65536,16,0)</f>
        <v>12</v>
      </c>
      <c r="W58" s="33">
        <f>VLOOKUP(B:B,'[4]SQL Results'!$B$1:$P$65536,15,0)</f>
        <v>3181.66</v>
      </c>
      <c r="X58" s="33">
        <f t="shared" si="12"/>
        <v>5</v>
      </c>
      <c r="Y58" s="33" t="s">
        <v>21</v>
      </c>
      <c r="Z58" s="33">
        <f>W58*0.1</f>
        <v>318.166</v>
      </c>
      <c r="AA58" s="33"/>
      <c r="AB58" s="33">
        <v>2595</v>
      </c>
      <c r="AC58" s="33">
        <v>2883</v>
      </c>
      <c r="AD58" s="31">
        <v>3147.38</v>
      </c>
      <c r="AE58" s="99">
        <f t="shared" si="13"/>
        <v>552.38</v>
      </c>
      <c r="AF58" s="99" t="s">
        <v>21</v>
      </c>
      <c r="AG58" s="99">
        <f>AD58*0.09</f>
        <v>283.2642</v>
      </c>
      <c r="AH58" s="99"/>
      <c r="AI58" s="31">
        <f t="shared" si="14"/>
        <v>670</v>
      </c>
      <c r="AJ58" s="31">
        <f t="shared" si="15"/>
        <v>-32</v>
      </c>
    </row>
    <row r="59" spans="1:36">
      <c r="A59" s="89">
        <v>55</v>
      </c>
      <c r="B59" s="89">
        <v>349</v>
      </c>
      <c r="C59" s="21" t="s">
        <v>157</v>
      </c>
      <c r="D59" s="89" t="s">
        <v>104</v>
      </c>
      <c r="E59" s="89" t="s">
        <v>149</v>
      </c>
      <c r="F59" s="89">
        <v>20</v>
      </c>
      <c r="G59" s="89">
        <v>22</v>
      </c>
      <c r="H59" s="89">
        <f>VLOOKUP(B:B,'[4]SQL Results'!$B$1:$L$65536,11,0)</f>
        <v>6</v>
      </c>
      <c r="I59" s="89">
        <f t="shared" si="11"/>
        <v>-14</v>
      </c>
      <c r="J59" s="89" t="s">
        <v>274</v>
      </c>
      <c r="K59" s="89">
        <f t="shared" si="17"/>
        <v>6</v>
      </c>
      <c r="L59" s="89">
        <f t="shared" si="18"/>
        <v>-14</v>
      </c>
      <c r="M59" s="89">
        <v>83</v>
      </c>
      <c r="N59" s="33">
        <v>92</v>
      </c>
      <c r="O59" s="33">
        <v>186</v>
      </c>
      <c r="P59" s="33">
        <f t="shared" si="16"/>
        <v>103</v>
      </c>
      <c r="Q59" s="33" t="s">
        <v>21</v>
      </c>
      <c r="R59" s="33">
        <f>O59*2.5</f>
        <v>465</v>
      </c>
      <c r="S59" s="33"/>
      <c r="T59" s="33">
        <v>11</v>
      </c>
      <c r="U59" s="33">
        <v>12</v>
      </c>
      <c r="V59" s="33">
        <f>VLOOKUP(B:B,'[4]SQL Results'!$B$1:$Q$65536,16,0)</f>
        <v>24</v>
      </c>
      <c r="W59" s="33">
        <f>VLOOKUP(B:B,'[4]SQL Results'!$B$1:$P$65536,15,0)</f>
        <v>3757.72</v>
      </c>
      <c r="X59" s="33">
        <f t="shared" si="12"/>
        <v>13</v>
      </c>
      <c r="Y59" s="33" t="s">
        <v>21</v>
      </c>
      <c r="Z59" s="33">
        <f>W59*0.1</f>
        <v>375.772</v>
      </c>
      <c r="AA59" s="33"/>
      <c r="AB59" s="33">
        <v>2808</v>
      </c>
      <c r="AC59" s="33">
        <v>3120</v>
      </c>
      <c r="AD59" s="31">
        <v>1683.31</v>
      </c>
      <c r="AE59" s="99">
        <f t="shared" si="13"/>
        <v>-1124.69</v>
      </c>
      <c r="AF59" s="99" t="s">
        <v>274</v>
      </c>
      <c r="AG59" s="99">
        <f t="shared" ref="AG59:AG65" si="19">AD59*0.05</f>
        <v>84.1655</v>
      </c>
      <c r="AH59" s="99">
        <f t="shared" ref="AH59:AH65" si="20">AE59*0.04</f>
        <v>-44.9876</v>
      </c>
      <c r="AI59" s="31">
        <f t="shared" si="14"/>
        <v>931</v>
      </c>
      <c r="AJ59" s="31">
        <f t="shared" si="15"/>
        <v>-59</v>
      </c>
    </row>
    <row r="60" spans="1:36">
      <c r="A60" s="89">
        <v>56</v>
      </c>
      <c r="B60" s="89">
        <v>742</v>
      </c>
      <c r="C60" s="21" t="s">
        <v>158</v>
      </c>
      <c r="D60" s="89" t="s">
        <v>95</v>
      </c>
      <c r="E60" s="89" t="s">
        <v>149</v>
      </c>
      <c r="F60" s="89">
        <v>18</v>
      </c>
      <c r="G60" s="89">
        <v>20</v>
      </c>
      <c r="H60" s="89">
        <f>VLOOKUP(B:B,'[4]SQL Results'!$B$1:$L$65536,11,0)</f>
        <v>15</v>
      </c>
      <c r="I60" s="89">
        <f t="shared" si="11"/>
        <v>-3</v>
      </c>
      <c r="J60" s="89" t="s">
        <v>274</v>
      </c>
      <c r="K60" s="89">
        <f t="shared" si="17"/>
        <v>15</v>
      </c>
      <c r="L60" s="89">
        <f t="shared" si="18"/>
        <v>-3</v>
      </c>
      <c r="M60" s="89">
        <v>94</v>
      </c>
      <c r="N60" s="33">
        <v>104</v>
      </c>
      <c r="O60" s="33">
        <v>130</v>
      </c>
      <c r="P60" s="33">
        <f t="shared" si="16"/>
        <v>36</v>
      </c>
      <c r="Q60" s="33" t="s">
        <v>21</v>
      </c>
      <c r="R60" s="33">
        <f>O60*2.5</f>
        <v>325</v>
      </c>
      <c r="S60" s="33"/>
      <c r="T60" s="33">
        <v>7</v>
      </c>
      <c r="U60" s="33">
        <v>8</v>
      </c>
      <c r="V60" s="33">
        <f>VLOOKUP(B:B,'[4]SQL Results'!$B$1:$Q$65536,16,0)</f>
        <v>6</v>
      </c>
      <c r="W60" s="33">
        <f>VLOOKUP(B:B,'[4]SQL Results'!$B$1:$P$65536,15,0)</f>
        <v>1728.14</v>
      </c>
      <c r="X60" s="33">
        <f t="shared" si="12"/>
        <v>-1</v>
      </c>
      <c r="Y60" s="33" t="s">
        <v>274</v>
      </c>
      <c r="Z60" s="33">
        <f>W60*0.05</f>
        <v>86.407</v>
      </c>
      <c r="AA60" s="33">
        <f>X60*8</f>
        <v>-8</v>
      </c>
      <c r="AB60" s="33">
        <v>1100</v>
      </c>
      <c r="AC60" s="33">
        <v>1222</v>
      </c>
      <c r="AD60" s="31">
        <v>275.5</v>
      </c>
      <c r="AE60" s="99">
        <f t="shared" si="13"/>
        <v>-824.5</v>
      </c>
      <c r="AF60" s="99" t="s">
        <v>274</v>
      </c>
      <c r="AG60" s="99">
        <f t="shared" si="19"/>
        <v>13.775</v>
      </c>
      <c r="AH60" s="99">
        <f t="shared" si="20"/>
        <v>-32.98</v>
      </c>
      <c r="AI60" s="31">
        <f t="shared" si="14"/>
        <v>440</v>
      </c>
      <c r="AJ60" s="31">
        <f t="shared" si="15"/>
        <v>-44</v>
      </c>
    </row>
    <row r="61" spans="1:36">
      <c r="A61" s="89">
        <v>57</v>
      </c>
      <c r="B61" s="89">
        <v>511</v>
      </c>
      <c r="C61" s="21" t="s">
        <v>159</v>
      </c>
      <c r="D61" s="89" t="s">
        <v>107</v>
      </c>
      <c r="E61" s="89" t="s">
        <v>149</v>
      </c>
      <c r="F61" s="89">
        <v>10</v>
      </c>
      <c r="G61" s="89">
        <v>11</v>
      </c>
      <c r="H61" s="89">
        <f>VLOOKUP(B:B,'[4]SQL Results'!$B$1:$L$65536,11,0)</f>
        <v>1</v>
      </c>
      <c r="I61" s="89">
        <f t="shared" si="11"/>
        <v>-9</v>
      </c>
      <c r="J61" s="89" t="s">
        <v>274</v>
      </c>
      <c r="K61" s="89">
        <f t="shared" si="17"/>
        <v>1</v>
      </c>
      <c r="L61" s="89">
        <f t="shared" si="18"/>
        <v>-9</v>
      </c>
      <c r="M61" s="89">
        <v>91</v>
      </c>
      <c r="N61" s="33">
        <v>101</v>
      </c>
      <c r="O61" s="33">
        <v>86</v>
      </c>
      <c r="P61" s="33">
        <f t="shared" si="16"/>
        <v>-5</v>
      </c>
      <c r="Q61" s="33" t="s">
        <v>274</v>
      </c>
      <c r="R61" s="33">
        <f>O61*0.8</f>
        <v>68.8</v>
      </c>
      <c r="S61" s="33">
        <f>P61*0.6</f>
        <v>-3</v>
      </c>
      <c r="T61" s="33">
        <v>5</v>
      </c>
      <c r="U61" s="33">
        <v>6</v>
      </c>
      <c r="V61" s="33">
        <f>VLOOKUP(B:B,'[4]SQL Results'!$B$1:$Q$65536,16,0)</f>
        <v>4</v>
      </c>
      <c r="W61" s="33">
        <f>VLOOKUP(B:B,'[4]SQL Results'!$B$1:$P$65536,15,0)</f>
        <v>1064.01</v>
      </c>
      <c r="X61" s="33">
        <f t="shared" si="12"/>
        <v>-1</v>
      </c>
      <c r="Y61" s="33" t="s">
        <v>274</v>
      </c>
      <c r="Z61" s="33">
        <f>W61*0.05</f>
        <v>53.2005</v>
      </c>
      <c r="AA61" s="33">
        <f>X61*8</f>
        <v>-8</v>
      </c>
      <c r="AB61" s="33">
        <v>1609</v>
      </c>
      <c r="AC61" s="33">
        <v>1788</v>
      </c>
      <c r="AD61" s="31">
        <v>1157.61</v>
      </c>
      <c r="AE61" s="99">
        <f t="shared" si="13"/>
        <v>-451.39</v>
      </c>
      <c r="AF61" s="99" t="s">
        <v>274</v>
      </c>
      <c r="AG61" s="99">
        <f t="shared" si="19"/>
        <v>57.8805</v>
      </c>
      <c r="AH61" s="99">
        <f t="shared" si="20"/>
        <v>-18.0556</v>
      </c>
      <c r="AI61" s="31">
        <f t="shared" si="14"/>
        <v>181</v>
      </c>
      <c r="AJ61" s="31">
        <f t="shared" si="15"/>
        <v>-38</v>
      </c>
    </row>
    <row r="62" spans="1:36">
      <c r="A62" s="89">
        <v>58</v>
      </c>
      <c r="B62" s="89">
        <v>747</v>
      </c>
      <c r="C62" s="21" t="s">
        <v>160</v>
      </c>
      <c r="D62" s="89" t="s">
        <v>139</v>
      </c>
      <c r="E62" s="89" t="s">
        <v>149</v>
      </c>
      <c r="F62" s="89">
        <v>4</v>
      </c>
      <c r="G62" s="89">
        <v>4</v>
      </c>
      <c r="H62" s="89">
        <f>VLOOKUP(B:B,'[4]SQL Results'!$B$1:$L$65536,11,0)</f>
        <v>5</v>
      </c>
      <c r="I62" s="89">
        <f t="shared" si="11"/>
        <v>1</v>
      </c>
      <c r="J62" s="89" t="s">
        <v>21</v>
      </c>
      <c r="K62" s="89">
        <f>H62*3.5</f>
        <v>17.5</v>
      </c>
      <c r="L62" s="89"/>
      <c r="M62" s="89">
        <v>59</v>
      </c>
      <c r="N62" s="33">
        <v>66</v>
      </c>
      <c r="O62" s="33">
        <v>26</v>
      </c>
      <c r="P62" s="33">
        <f t="shared" si="16"/>
        <v>-33</v>
      </c>
      <c r="Q62" s="33" t="s">
        <v>274</v>
      </c>
      <c r="R62" s="33">
        <f>O62*0.8</f>
        <v>20.8</v>
      </c>
      <c r="S62" s="33">
        <f>P62*0.6</f>
        <v>-19.8</v>
      </c>
      <c r="T62" s="33">
        <v>11</v>
      </c>
      <c r="U62" s="33">
        <v>12</v>
      </c>
      <c r="V62" s="33">
        <f>VLOOKUP(B:B,'[4]SQL Results'!$B$1:$Q$65536,16,0)</f>
        <v>19</v>
      </c>
      <c r="W62" s="33">
        <f>VLOOKUP(B:B,'[4]SQL Results'!$B$1:$P$65536,15,0)</f>
        <v>4174.01</v>
      </c>
      <c r="X62" s="33">
        <f t="shared" si="12"/>
        <v>8</v>
      </c>
      <c r="Y62" s="33" t="s">
        <v>21</v>
      </c>
      <c r="Z62" s="33">
        <f>W62*0.1</f>
        <v>417.401</v>
      </c>
      <c r="AA62" s="33"/>
      <c r="AB62" s="33">
        <v>2045</v>
      </c>
      <c r="AC62" s="33">
        <v>2272</v>
      </c>
      <c r="AD62" s="31">
        <v>459</v>
      </c>
      <c r="AE62" s="99">
        <f t="shared" si="13"/>
        <v>-1586</v>
      </c>
      <c r="AF62" s="99" t="s">
        <v>274</v>
      </c>
      <c r="AG62" s="99">
        <f t="shared" si="19"/>
        <v>22.95</v>
      </c>
      <c r="AH62" s="99">
        <f t="shared" si="20"/>
        <v>-63.44</v>
      </c>
      <c r="AI62" s="31">
        <f t="shared" si="14"/>
        <v>479</v>
      </c>
      <c r="AJ62" s="31">
        <f t="shared" si="15"/>
        <v>-83</v>
      </c>
    </row>
    <row r="63" spans="1:36">
      <c r="A63" s="89">
        <v>59</v>
      </c>
      <c r="B63" s="89">
        <v>572</v>
      </c>
      <c r="C63" s="21" t="s">
        <v>161</v>
      </c>
      <c r="D63" s="89" t="s">
        <v>104</v>
      </c>
      <c r="E63" s="89" t="s">
        <v>149</v>
      </c>
      <c r="F63" s="89">
        <v>10</v>
      </c>
      <c r="G63" s="89">
        <v>11</v>
      </c>
      <c r="H63" s="89">
        <f>VLOOKUP(B:B,'[4]SQL Results'!$B$1:$L$65536,11,0)</f>
        <v>4</v>
      </c>
      <c r="I63" s="89">
        <f t="shared" si="11"/>
        <v>-6</v>
      </c>
      <c r="J63" s="89" t="s">
        <v>274</v>
      </c>
      <c r="K63" s="89">
        <f>H63*1</f>
        <v>4</v>
      </c>
      <c r="L63" s="89">
        <f>I63*1</f>
        <v>-6</v>
      </c>
      <c r="M63" s="89">
        <v>75</v>
      </c>
      <c r="N63" s="33">
        <v>83</v>
      </c>
      <c r="O63" s="33">
        <v>88</v>
      </c>
      <c r="P63" s="33">
        <f t="shared" si="16"/>
        <v>13</v>
      </c>
      <c r="Q63" s="33" t="s">
        <v>21</v>
      </c>
      <c r="R63" s="33">
        <f>O63*2.5</f>
        <v>220</v>
      </c>
      <c r="S63" s="33"/>
      <c r="T63" s="33">
        <v>13</v>
      </c>
      <c r="U63" s="33">
        <v>14</v>
      </c>
      <c r="V63" s="33">
        <f>VLOOKUP(B:B,'[4]SQL Results'!$B$1:$Q$65536,16,0)</f>
        <v>14</v>
      </c>
      <c r="W63" s="33">
        <f>VLOOKUP(B:B,'[4]SQL Results'!$B$1:$P$65536,15,0)</f>
        <v>3592.88</v>
      </c>
      <c r="X63" s="33">
        <f t="shared" si="12"/>
        <v>1</v>
      </c>
      <c r="Y63" s="33" t="s">
        <v>21</v>
      </c>
      <c r="Z63" s="33">
        <f>W63*0.1</f>
        <v>359.288</v>
      </c>
      <c r="AA63" s="33"/>
      <c r="AB63" s="33">
        <v>4696</v>
      </c>
      <c r="AC63" s="33">
        <v>5218</v>
      </c>
      <c r="AD63" s="31">
        <v>3562.25</v>
      </c>
      <c r="AE63" s="99">
        <f t="shared" si="13"/>
        <v>-1133.75</v>
      </c>
      <c r="AF63" s="99" t="s">
        <v>274</v>
      </c>
      <c r="AG63" s="99">
        <f t="shared" si="19"/>
        <v>178.1125</v>
      </c>
      <c r="AH63" s="99">
        <f t="shared" si="20"/>
        <v>-45.35</v>
      </c>
      <c r="AI63" s="31">
        <f t="shared" si="14"/>
        <v>761</v>
      </c>
      <c r="AJ63" s="31">
        <f t="shared" si="15"/>
        <v>-51</v>
      </c>
    </row>
    <row r="64" spans="1:36">
      <c r="A64" s="89">
        <v>60</v>
      </c>
      <c r="B64" s="89">
        <v>723</v>
      </c>
      <c r="C64" s="21" t="s">
        <v>162</v>
      </c>
      <c r="D64" s="89" t="s">
        <v>113</v>
      </c>
      <c r="E64" s="89" t="s">
        <v>149</v>
      </c>
      <c r="F64" s="89">
        <v>5</v>
      </c>
      <c r="G64" s="89">
        <v>5</v>
      </c>
      <c r="H64" s="89">
        <f>VLOOKUP(B:B,'[4]SQL Results'!$B$1:$L$65536,11,0)</f>
        <v>1</v>
      </c>
      <c r="I64" s="89">
        <f t="shared" si="11"/>
        <v>-4</v>
      </c>
      <c r="J64" s="89" t="s">
        <v>274</v>
      </c>
      <c r="K64" s="89">
        <f>H64*1</f>
        <v>1</v>
      </c>
      <c r="L64" s="89">
        <f>I64*1</f>
        <v>-4</v>
      </c>
      <c r="M64" s="89">
        <v>59</v>
      </c>
      <c r="N64" s="33">
        <v>65</v>
      </c>
      <c r="O64" s="33">
        <v>85</v>
      </c>
      <c r="P64" s="33">
        <f t="shared" si="16"/>
        <v>26</v>
      </c>
      <c r="Q64" s="33" t="s">
        <v>21</v>
      </c>
      <c r="R64" s="33">
        <f>O64*2.5</f>
        <v>212.5</v>
      </c>
      <c r="S64" s="33"/>
      <c r="T64" s="33">
        <v>5</v>
      </c>
      <c r="U64" s="33">
        <v>5</v>
      </c>
      <c r="V64" s="33">
        <f>VLOOKUP(B:B,'[4]SQL Results'!$B$1:$Q$65536,16,0)</f>
        <v>2</v>
      </c>
      <c r="W64" s="33">
        <f>VLOOKUP(B:B,'[4]SQL Results'!$B$1:$P$65536,15,0)</f>
        <v>576</v>
      </c>
      <c r="X64" s="33">
        <f t="shared" si="12"/>
        <v>-3</v>
      </c>
      <c r="Y64" s="33" t="s">
        <v>274</v>
      </c>
      <c r="Z64" s="33">
        <f>W64*0.05</f>
        <v>28.8</v>
      </c>
      <c r="AA64" s="33">
        <f>X64*8</f>
        <v>-24</v>
      </c>
      <c r="AB64" s="33">
        <v>840</v>
      </c>
      <c r="AC64" s="33">
        <v>933</v>
      </c>
      <c r="AD64" s="31">
        <v>821</v>
      </c>
      <c r="AE64" s="99">
        <f t="shared" si="13"/>
        <v>-19</v>
      </c>
      <c r="AF64" s="99" t="s">
        <v>274</v>
      </c>
      <c r="AG64" s="99">
        <f t="shared" si="19"/>
        <v>41.05</v>
      </c>
      <c r="AH64" s="99">
        <f t="shared" si="20"/>
        <v>-0.76</v>
      </c>
      <c r="AI64" s="31">
        <f t="shared" si="14"/>
        <v>283</v>
      </c>
      <c r="AJ64" s="31">
        <f t="shared" si="15"/>
        <v>-29</v>
      </c>
    </row>
    <row r="65" spans="1:36">
      <c r="A65" s="89">
        <v>61</v>
      </c>
      <c r="B65" s="89">
        <v>718</v>
      </c>
      <c r="C65" s="21" t="s">
        <v>163</v>
      </c>
      <c r="D65" s="89" t="s">
        <v>113</v>
      </c>
      <c r="E65" s="89" t="s">
        <v>149</v>
      </c>
      <c r="F65" s="89">
        <v>8</v>
      </c>
      <c r="G65" s="89">
        <v>9</v>
      </c>
      <c r="H65" s="89">
        <f>VLOOKUP(B:B,'[4]SQL Results'!$B$1:$L$65536,11,0)</f>
        <v>14</v>
      </c>
      <c r="I65" s="89">
        <f t="shared" si="11"/>
        <v>6</v>
      </c>
      <c r="J65" s="89" t="s">
        <v>21</v>
      </c>
      <c r="K65" s="89">
        <f>H65*3.5</f>
        <v>49</v>
      </c>
      <c r="L65" s="89"/>
      <c r="M65" s="89">
        <v>44</v>
      </c>
      <c r="N65" s="33">
        <v>49</v>
      </c>
      <c r="O65" s="33">
        <v>40</v>
      </c>
      <c r="P65" s="33">
        <f t="shared" si="16"/>
        <v>-4</v>
      </c>
      <c r="Q65" s="33" t="s">
        <v>274</v>
      </c>
      <c r="R65" s="33">
        <f>O65*0.8</f>
        <v>32</v>
      </c>
      <c r="S65" s="33">
        <f>P65*0.6</f>
        <v>-2.4</v>
      </c>
      <c r="T65" s="33">
        <v>15</v>
      </c>
      <c r="U65" s="33">
        <v>17</v>
      </c>
      <c r="V65" s="33">
        <f>VLOOKUP(B:B,'[4]SQL Results'!$B$1:$Q$65536,16,0)</f>
        <v>9</v>
      </c>
      <c r="W65" s="33">
        <f>VLOOKUP(B:B,'[4]SQL Results'!$B$1:$P$65536,15,0)</f>
        <v>2328.57</v>
      </c>
      <c r="X65" s="33">
        <f t="shared" si="12"/>
        <v>-6</v>
      </c>
      <c r="Y65" s="33" t="s">
        <v>274</v>
      </c>
      <c r="Z65" s="33">
        <f>W65*0.05</f>
        <v>116.4285</v>
      </c>
      <c r="AA65" s="33">
        <f>X65*8</f>
        <v>-48</v>
      </c>
      <c r="AB65" s="33">
        <v>1667</v>
      </c>
      <c r="AC65" s="33">
        <v>1852</v>
      </c>
      <c r="AD65" s="31">
        <v>312</v>
      </c>
      <c r="AE65" s="99">
        <f t="shared" si="13"/>
        <v>-1355</v>
      </c>
      <c r="AF65" s="99" t="s">
        <v>274</v>
      </c>
      <c r="AG65" s="99">
        <f t="shared" si="19"/>
        <v>15.6</v>
      </c>
      <c r="AH65" s="99">
        <f t="shared" si="20"/>
        <v>-54.2</v>
      </c>
      <c r="AI65" s="31">
        <f t="shared" si="14"/>
        <v>213</v>
      </c>
      <c r="AJ65" s="31">
        <f t="shared" si="15"/>
        <v>-105</v>
      </c>
    </row>
    <row r="66" spans="1:36">
      <c r="A66" s="89">
        <v>62</v>
      </c>
      <c r="B66" s="91">
        <v>102935</v>
      </c>
      <c r="C66" s="21" t="s">
        <v>164</v>
      </c>
      <c r="D66" s="89" t="s">
        <v>109</v>
      </c>
      <c r="E66" s="89" t="s">
        <v>149</v>
      </c>
      <c r="F66" s="89">
        <v>13</v>
      </c>
      <c r="G66" s="89">
        <v>14</v>
      </c>
      <c r="H66" s="89">
        <f>VLOOKUP(B:B,'[4]SQL Results'!$B$1:$L$65536,11,0)</f>
        <v>5</v>
      </c>
      <c r="I66" s="89">
        <f t="shared" si="11"/>
        <v>-8</v>
      </c>
      <c r="J66" s="89" t="s">
        <v>274</v>
      </c>
      <c r="K66" s="89">
        <f>H66*1</f>
        <v>5</v>
      </c>
      <c r="L66" s="89">
        <f>I66*1</f>
        <v>-8</v>
      </c>
      <c r="M66" s="89">
        <v>60</v>
      </c>
      <c r="N66" s="33">
        <v>67</v>
      </c>
      <c r="O66" s="33">
        <v>95</v>
      </c>
      <c r="P66" s="33">
        <f t="shared" si="16"/>
        <v>35</v>
      </c>
      <c r="Q66" s="33" t="s">
        <v>21</v>
      </c>
      <c r="R66" s="33">
        <f>O66*2.5</f>
        <v>237.5</v>
      </c>
      <c r="S66" s="33"/>
      <c r="T66" s="33">
        <v>8</v>
      </c>
      <c r="U66" s="33">
        <v>9</v>
      </c>
      <c r="V66" s="33">
        <v>0</v>
      </c>
      <c r="W66" s="33" t="str">
        <f>VLOOKUP(B:B,'[4]SQL Results'!$B$1:$P$65536,15,0)</f>
        <v/>
      </c>
      <c r="X66" s="33">
        <f t="shared" si="12"/>
        <v>-8</v>
      </c>
      <c r="Y66" s="33" t="s">
        <v>274</v>
      </c>
      <c r="Z66" s="33"/>
      <c r="AA66" s="33">
        <f>X66*8</f>
        <v>-64</v>
      </c>
      <c r="AB66" s="33">
        <v>921</v>
      </c>
      <c r="AC66" s="33">
        <v>1023</v>
      </c>
      <c r="AD66" s="31">
        <v>1647</v>
      </c>
      <c r="AE66" s="99">
        <f t="shared" si="13"/>
        <v>726</v>
      </c>
      <c r="AF66" s="99" t="s">
        <v>21</v>
      </c>
      <c r="AG66" s="99">
        <f>AD66*0.09</f>
        <v>148.23</v>
      </c>
      <c r="AH66" s="99"/>
      <c r="AI66" s="31">
        <f t="shared" si="14"/>
        <v>391</v>
      </c>
      <c r="AJ66" s="31">
        <f t="shared" si="15"/>
        <v>-72</v>
      </c>
    </row>
    <row r="67" spans="1:36">
      <c r="A67" s="89">
        <v>63</v>
      </c>
      <c r="B67" s="91">
        <v>102478</v>
      </c>
      <c r="C67" s="21" t="s">
        <v>165</v>
      </c>
      <c r="D67" s="89" t="s">
        <v>139</v>
      </c>
      <c r="E67" s="89" t="s">
        <v>149</v>
      </c>
      <c r="F67" s="89">
        <v>4</v>
      </c>
      <c r="G67" s="89">
        <v>4</v>
      </c>
      <c r="H67" s="89">
        <v>0</v>
      </c>
      <c r="I67" s="89">
        <f t="shared" si="11"/>
        <v>-4</v>
      </c>
      <c r="J67" s="89" t="s">
        <v>274</v>
      </c>
      <c r="K67" s="89"/>
      <c r="L67" s="89">
        <f>I67*1</f>
        <v>-4</v>
      </c>
      <c r="M67" s="89">
        <v>32</v>
      </c>
      <c r="N67" s="33">
        <v>36</v>
      </c>
      <c r="O67" s="33">
        <v>54</v>
      </c>
      <c r="P67" s="33">
        <f t="shared" si="16"/>
        <v>22</v>
      </c>
      <c r="Q67" s="33" t="s">
        <v>21</v>
      </c>
      <c r="R67" s="33">
        <f>O67*2.5</f>
        <v>135</v>
      </c>
      <c r="S67" s="33"/>
      <c r="T67" s="33">
        <v>4</v>
      </c>
      <c r="U67" s="33">
        <v>4</v>
      </c>
      <c r="V67" s="33">
        <v>0</v>
      </c>
      <c r="W67" s="33" t="str">
        <f>VLOOKUP(B:B,'[4]SQL Results'!$B$1:$P$65536,15,0)</f>
        <v/>
      </c>
      <c r="X67" s="33">
        <f t="shared" si="12"/>
        <v>-4</v>
      </c>
      <c r="Y67" s="33" t="s">
        <v>274</v>
      </c>
      <c r="Z67" s="33"/>
      <c r="AA67" s="33">
        <f>X67*8</f>
        <v>-32</v>
      </c>
      <c r="AB67" s="33">
        <v>729</v>
      </c>
      <c r="AC67" s="33">
        <v>810</v>
      </c>
      <c r="AD67" s="31">
        <v>137</v>
      </c>
      <c r="AE67" s="99">
        <f t="shared" si="13"/>
        <v>-592</v>
      </c>
      <c r="AF67" s="99" t="s">
        <v>274</v>
      </c>
      <c r="AG67" s="99">
        <f>AD67*0.05</f>
        <v>6.85</v>
      </c>
      <c r="AH67" s="99">
        <f>AE67*0.04</f>
        <v>-23.68</v>
      </c>
      <c r="AI67" s="31">
        <f t="shared" si="14"/>
        <v>142</v>
      </c>
      <c r="AJ67" s="31">
        <f t="shared" si="15"/>
        <v>-60</v>
      </c>
    </row>
    <row r="68" spans="1:36">
      <c r="A68" s="89">
        <v>64</v>
      </c>
      <c r="B68" s="91">
        <v>102479</v>
      </c>
      <c r="C68" s="21" t="s">
        <v>166</v>
      </c>
      <c r="D68" s="89" t="s">
        <v>109</v>
      </c>
      <c r="E68" s="89" t="s">
        <v>149</v>
      </c>
      <c r="F68" s="89">
        <v>6</v>
      </c>
      <c r="G68" s="89">
        <v>7</v>
      </c>
      <c r="H68" s="89">
        <f>VLOOKUP(B:B,'[4]SQL Results'!$B$1:$L$65536,11,0)</f>
        <v>4</v>
      </c>
      <c r="I68" s="89">
        <f t="shared" ref="I68:I99" si="21">H68-F68</f>
        <v>-2</v>
      </c>
      <c r="J68" s="89" t="s">
        <v>274</v>
      </c>
      <c r="K68" s="89">
        <f>H68*1</f>
        <v>4</v>
      </c>
      <c r="L68" s="89">
        <f>I68*1</f>
        <v>-2</v>
      </c>
      <c r="M68" s="89">
        <v>79</v>
      </c>
      <c r="N68" s="33">
        <v>88</v>
      </c>
      <c r="O68" s="33">
        <v>107</v>
      </c>
      <c r="P68" s="33">
        <f t="shared" si="16"/>
        <v>28</v>
      </c>
      <c r="Q68" s="33" t="s">
        <v>21</v>
      </c>
      <c r="R68" s="33">
        <f>O68*2.5</f>
        <v>267.5</v>
      </c>
      <c r="S68" s="33"/>
      <c r="T68" s="33">
        <v>5</v>
      </c>
      <c r="U68" s="33">
        <v>6</v>
      </c>
      <c r="V68" s="33">
        <f>VLOOKUP(B:B,'[4]SQL Results'!$B$1:$Q$65536,16,0)</f>
        <v>6</v>
      </c>
      <c r="W68" s="33">
        <f>VLOOKUP(B:B,'[4]SQL Results'!$B$1:$P$65536,15,0)</f>
        <v>1551.19</v>
      </c>
      <c r="X68" s="33">
        <f t="shared" ref="X68:X99" si="22">V68-T68</f>
        <v>1</v>
      </c>
      <c r="Y68" s="33" t="s">
        <v>21</v>
      </c>
      <c r="Z68" s="33">
        <f>W68*0.1</f>
        <v>155.119</v>
      </c>
      <c r="AA68" s="33"/>
      <c r="AB68" s="33">
        <v>1002</v>
      </c>
      <c r="AC68" s="33">
        <v>1113</v>
      </c>
      <c r="AD68" s="31">
        <v>809.06</v>
      </c>
      <c r="AE68" s="99">
        <f t="shared" ref="AE68:AE99" si="23">AD68-AB68</f>
        <v>-192.94</v>
      </c>
      <c r="AF68" s="99" t="s">
        <v>274</v>
      </c>
      <c r="AG68" s="99">
        <f>AD68*0.05</f>
        <v>40.453</v>
      </c>
      <c r="AH68" s="99">
        <f>AE68*0.04</f>
        <v>-7.7176</v>
      </c>
      <c r="AI68" s="31">
        <f t="shared" ref="AI68:AI99" si="24">ROUND(K68+R68+Z68+AG68,0)</f>
        <v>467</v>
      </c>
      <c r="AJ68" s="31">
        <f t="shared" ref="AJ68:AJ99" si="25">ROUND(L68+S68+AA68+AH68,0)</f>
        <v>-10</v>
      </c>
    </row>
    <row r="69" spans="1:36">
      <c r="A69" s="89">
        <v>65</v>
      </c>
      <c r="B69" s="91">
        <v>337</v>
      </c>
      <c r="C69" s="21" t="s">
        <v>167</v>
      </c>
      <c r="D69" s="89" t="s">
        <v>92</v>
      </c>
      <c r="E69" s="89" t="s">
        <v>149</v>
      </c>
      <c r="F69" s="89">
        <v>23</v>
      </c>
      <c r="G69" s="89">
        <v>26</v>
      </c>
      <c r="H69" s="89">
        <f>VLOOKUP(B:B,'[4]SQL Results'!$B$1:$L$65536,11,0)</f>
        <v>26</v>
      </c>
      <c r="I69" s="89">
        <f t="shared" si="21"/>
        <v>3</v>
      </c>
      <c r="J69" s="89" t="s">
        <v>21</v>
      </c>
      <c r="K69" s="89">
        <f>H69*3.5</f>
        <v>91</v>
      </c>
      <c r="L69" s="89"/>
      <c r="M69" s="89">
        <v>287</v>
      </c>
      <c r="N69" s="33">
        <v>319</v>
      </c>
      <c r="O69" s="33">
        <v>371</v>
      </c>
      <c r="P69" s="33">
        <f t="shared" si="16"/>
        <v>84</v>
      </c>
      <c r="Q69" s="33" t="s">
        <v>21</v>
      </c>
      <c r="R69" s="33">
        <f>O69*2.5</f>
        <v>927.5</v>
      </c>
      <c r="S69" s="33"/>
      <c r="T69" s="33">
        <v>20</v>
      </c>
      <c r="U69" s="33">
        <v>22</v>
      </c>
      <c r="V69" s="33">
        <f>VLOOKUP(B:B,'[4]SQL Results'!$B$1:$Q$65536,16,0)</f>
        <v>13</v>
      </c>
      <c r="W69" s="33">
        <f>VLOOKUP(B:B,'[4]SQL Results'!$B$1:$P$65536,15,0)</f>
        <v>3580</v>
      </c>
      <c r="X69" s="33">
        <f t="shared" si="22"/>
        <v>-7</v>
      </c>
      <c r="Y69" s="33" t="s">
        <v>274</v>
      </c>
      <c r="Z69" s="33">
        <f>W69*0.05</f>
        <v>179</v>
      </c>
      <c r="AA69" s="33">
        <f>X69*8</f>
        <v>-56</v>
      </c>
      <c r="AB69" s="33">
        <v>12556</v>
      </c>
      <c r="AC69" s="33">
        <v>13951</v>
      </c>
      <c r="AD69" s="31">
        <v>9976</v>
      </c>
      <c r="AE69" s="99">
        <f t="shared" si="23"/>
        <v>-2580</v>
      </c>
      <c r="AF69" s="99" t="s">
        <v>274</v>
      </c>
      <c r="AG69" s="99">
        <f>AD69*0.05</f>
        <v>498.8</v>
      </c>
      <c r="AH69" s="99">
        <f>AE69*0.04</f>
        <v>-103.2</v>
      </c>
      <c r="AI69" s="31">
        <f t="shared" si="24"/>
        <v>1696</v>
      </c>
      <c r="AJ69" s="31">
        <f t="shared" si="25"/>
        <v>-159</v>
      </c>
    </row>
    <row r="70" spans="1:36">
      <c r="A70" s="89">
        <v>66</v>
      </c>
      <c r="B70" s="90">
        <v>341</v>
      </c>
      <c r="C70" s="21" t="s">
        <v>168</v>
      </c>
      <c r="D70" s="90" t="s">
        <v>92</v>
      </c>
      <c r="E70" s="90" t="s">
        <v>169</v>
      </c>
      <c r="F70" s="89">
        <v>18</v>
      </c>
      <c r="G70" s="89">
        <v>20</v>
      </c>
      <c r="H70" s="89">
        <f>VLOOKUP(B:B,'[4]SQL Results'!$B$1:$L$65536,11,0)</f>
        <v>11</v>
      </c>
      <c r="I70" s="89">
        <f t="shared" si="21"/>
        <v>-7</v>
      </c>
      <c r="J70" s="89" t="s">
        <v>274</v>
      </c>
      <c r="K70" s="89">
        <f>H70*1</f>
        <v>11</v>
      </c>
      <c r="L70" s="89">
        <f>I70*1</f>
        <v>-7</v>
      </c>
      <c r="M70" s="89">
        <v>52</v>
      </c>
      <c r="N70" s="33">
        <v>58</v>
      </c>
      <c r="O70" s="33">
        <v>137</v>
      </c>
      <c r="P70" s="33">
        <f t="shared" si="16"/>
        <v>85</v>
      </c>
      <c r="Q70" s="33" t="s">
        <v>21</v>
      </c>
      <c r="R70" s="33">
        <f>O70*2.5</f>
        <v>342.5</v>
      </c>
      <c r="S70" s="33"/>
      <c r="T70" s="33">
        <v>16</v>
      </c>
      <c r="U70" s="33">
        <v>18</v>
      </c>
      <c r="V70" s="33">
        <f>VLOOKUP(B:B,'[4]SQL Results'!$B$1:$Q$65536,16,0)</f>
        <v>30</v>
      </c>
      <c r="W70" s="33">
        <f>VLOOKUP(B:B,'[4]SQL Results'!$B$1:$P$65536,15,0)</f>
        <v>8065.28</v>
      </c>
      <c r="X70" s="33">
        <f t="shared" si="22"/>
        <v>14</v>
      </c>
      <c r="Y70" s="33" t="s">
        <v>21</v>
      </c>
      <c r="Z70" s="33">
        <f>W70*0.1</f>
        <v>806.528</v>
      </c>
      <c r="AA70" s="33"/>
      <c r="AB70" s="33">
        <v>20737</v>
      </c>
      <c r="AC70" s="33">
        <v>23041</v>
      </c>
      <c r="AD70" s="31">
        <v>12758.13</v>
      </c>
      <c r="AE70" s="99">
        <f t="shared" si="23"/>
        <v>-7978.87</v>
      </c>
      <c r="AF70" s="99" t="s">
        <v>274</v>
      </c>
      <c r="AG70" s="99">
        <f>AD70*0.05</f>
        <v>637.9065</v>
      </c>
      <c r="AH70" s="99">
        <f>AE70*0.04</f>
        <v>-319.1548</v>
      </c>
      <c r="AI70" s="31">
        <f t="shared" si="24"/>
        <v>1798</v>
      </c>
      <c r="AJ70" s="31">
        <f t="shared" si="25"/>
        <v>-326</v>
      </c>
    </row>
    <row r="71" spans="1:36">
      <c r="A71" s="89">
        <v>67</v>
      </c>
      <c r="B71" s="89">
        <v>514</v>
      </c>
      <c r="C71" s="21" t="s">
        <v>170</v>
      </c>
      <c r="D71" s="89" t="s">
        <v>95</v>
      </c>
      <c r="E71" s="89" t="s">
        <v>169</v>
      </c>
      <c r="F71" s="89">
        <v>16</v>
      </c>
      <c r="G71" s="89">
        <v>18</v>
      </c>
      <c r="H71" s="89">
        <v>0</v>
      </c>
      <c r="I71" s="89">
        <f t="shared" si="21"/>
        <v>-16</v>
      </c>
      <c r="J71" s="89" t="s">
        <v>274</v>
      </c>
      <c r="K71" s="89"/>
      <c r="L71" s="89">
        <f>I71*1</f>
        <v>-16</v>
      </c>
      <c r="M71" s="89">
        <v>183</v>
      </c>
      <c r="N71" s="33">
        <v>203</v>
      </c>
      <c r="O71" s="33">
        <v>189</v>
      </c>
      <c r="P71" s="33">
        <f t="shared" si="16"/>
        <v>6</v>
      </c>
      <c r="Q71" s="33" t="s">
        <v>20</v>
      </c>
      <c r="R71" s="33">
        <f>O71*1.5</f>
        <v>283.5</v>
      </c>
      <c r="S71" s="33"/>
      <c r="T71" s="33">
        <v>17</v>
      </c>
      <c r="U71" s="33">
        <v>19</v>
      </c>
      <c r="V71" s="33">
        <f>VLOOKUP(B:B,'[4]SQL Results'!$B$1:$Q$65536,16,0)</f>
        <v>15</v>
      </c>
      <c r="W71" s="33">
        <f>VLOOKUP(B:B,'[4]SQL Results'!$B$1:$P$65536,15,0)</f>
        <v>4349.1</v>
      </c>
      <c r="X71" s="33">
        <f t="shared" si="22"/>
        <v>-2</v>
      </c>
      <c r="Y71" s="33" t="s">
        <v>274</v>
      </c>
      <c r="Z71" s="33">
        <f>W71*0.05</f>
        <v>217.455</v>
      </c>
      <c r="AA71" s="33">
        <f>X71*8</f>
        <v>-16</v>
      </c>
      <c r="AB71" s="33">
        <v>4568</v>
      </c>
      <c r="AC71" s="33">
        <v>5075</v>
      </c>
      <c r="AD71" s="31">
        <v>2632</v>
      </c>
      <c r="AE71" s="99">
        <f t="shared" si="23"/>
        <v>-1936</v>
      </c>
      <c r="AF71" s="99" t="s">
        <v>274</v>
      </c>
      <c r="AG71" s="99">
        <f>AD71*0.05</f>
        <v>131.6</v>
      </c>
      <c r="AH71" s="99">
        <f>AE71*0.04</f>
        <v>-77.44</v>
      </c>
      <c r="AI71" s="31">
        <f t="shared" si="24"/>
        <v>633</v>
      </c>
      <c r="AJ71" s="31">
        <f t="shared" si="25"/>
        <v>-109</v>
      </c>
    </row>
    <row r="72" spans="1:36">
      <c r="A72" s="89">
        <v>68</v>
      </c>
      <c r="B72" s="89">
        <v>746</v>
      </c>
      <c r="C72" s="21" t="s">
        <v>171</v>
      </c>
      <c r="D72" s="89" t="s">
        <v>109</v>
      </c>
      <c r="E72" s="89" t="s">
        <v>169</v>
      </c>
      <c r="F72" s="89">
        <v>12</v>
      </c>
      <c r="G72" s="89">
        <v>13</v>
      </c>
      <c r="H72" s="89">
        <f>VLOOKUP(B:B,'[4]SQL Results'!$B$1:$L$65536,11,0)</f>
        <v>7</v>
      </c>
      <c r="I72" s="89">
        <f t="shared" si="21"/>
        <v>-5</v>
      </c>
      <c r="J72" s="89" t="s">
        <v>274</v>
      </c>
      <c r="K72" s="89">
        <f>H72*1</f>
        <v>7</v>
      </c>
      <c r="L72" s="89">
        <f>I72*1</f>
        <v>-5</v>
      </c>
      <c r="M72" s="89">
        <v>60</v>
      </c>
      <c r="N72" s="33">
        <v>67</v>
      </c>
      <c r="O72" s="33">
        <v>119</v>
      </c>
      <c r="P72" s="33">
        <f t="shared" si="16"/>
        <v>59</v>
      </c>
      <c r="Q72" s="33" t="s">
        <v>21</v>
      </c>
      <c r="R72" s="33">
        <f>O72*2.5</f>
        <v>297.5</v>
      </c>
      <c r="S72" s="33"/>
      <c r="T72" s="33">
        <v>4</v>
      </c>
      <c r="U72" s="33">
        <v>4</v>
      </c>
      <c r="V72" s="33">
        <f>VLOOKUP(B:B,'[4]SQL Results'!$B$1:$Q$65536,16,0)</f>
        <v>13</v>
      </c>
      <c r="W72" s="33">
        <f>VLOOKUP(B:B,'[4]SQL Results'!$B$1:$P$65536,15,0)</f>
        <v>2915.89</v>
      </c>
      <c r="X72" s="33">
        <f t="shared" si="22"/>
        <v>9</v>
      </c>
      <c r="Y72" s="33" t="s">
        <v>21</v>
      </c>
      <c r="Z72" s="33">
        <f>W72*0.1</f>
        <v>291.589</v>
      </c>
      <c r="AA72" s="33"/>
      <c r="AB72" s="33">
        <v>902</v>
      </c>
      <c r="AC72" s="33">
        <v>1002</v>
      </c>
      <c r="AD72" s="31">
        <v>1870.5</v>
      </c>
      <c r="AE72" s="99">
        <f t="shared" si="23"/>
        <v>968.5</v>
      </c>
      <c r="AF72" s="99" t="s">
        <v>21</v>
      </c>
      <c r="AG72" s="99">
        <f>AD72*0.09</f>
        <v>168.345</v>
      </c>
      <c r="AH72" s="99"/>
      <c r="AI72" s="31">
        <f t="shared" si="24"/>
        <v>764</v>
      </c>
      <c r="AJ72" s="31">
        <f t="shared" si="25"/>
        <v>-5</v>
      </c>
    </row>
    <row r="73" spans="1:36">
      <c r="A73" s="89">
        <v>69</v>
      </c>
      <c r="B73" s="89">
        <v>385</v>
      </c>
      <c r="C73" s="21" t="s">
        <v>172</v>
      </c>
      <c r="D73" s="89" t="s">
        <v>92</v>
      </c>
      <c r="E73" s="89" t="s">
        <v>169</v>
      </c>
      <c r="F73" s="89">
        <v>22</v>
      </c>
      <c r="G73" s="89">
        <v>24</v>
      </c>
      <c r="H73" s="89">
        <f>VLOOKUP(B:B,'[4]SQL Results'!$B$1:$L$65536,11,0)</f>
        <v>17</v>
      </c>
      <c r="I73" s="89">
        <f t="shared" si="21"/>
        <v>-5</v>
      </c>
      <c r="J73" s="89" t="s">
        <v>274</v>
      </c>
      <c r="K73" s="89">
        <f>H73*1</f>
        <v>17</v>
      </c>
      <c r="L73" s="89">
        <f>I73*1</f>
        <v>-5</v>
      </c>
      <c r="M73" s="89">
        <v>45</v>
      </c>
      <c r="N73" s="33">
        <v>50</v>
      </c>
      <c r="O73" s="33">
        <v>67</v>
      </c>
      <c r="P73" s="33">
        <f t="shared" si="16"/>
        <v>22</v>
      </c>
      <c r="Q73" s="33" t="s">
        <v>21</v>
      </c>
      <c r="R73" s="33">
        <f>O73*2.5</f>
        <v>167.5</v>
      </c>
      <c r="S73" s="33"/>
      <c r="T73" s="33">
        <v>11</v>
      </c>
      <c r="U73" s="33">
        <v>12</v>
      </c>
      <c r="V73" s="33">
        <f>VLOOKUP(B:B,'[4]SQL Results'!$B$1:$Q$65536,16,0)</f>
        <v>16</v>
      </c>
      <c r="W73" s="33">
        <f>VLOOKUP(B:B,'[4]SQL Results'!$B$1:$P$65536,15,0)</f>
        <v>3251.38</v>
      </c>
      <c r="X73" s="33">
        <f t="shared" si="22"/>
        <v>5</v>
      </c>
      <c r="Y73" s="33" t="s">
        <v>21</v>
      </c>
      <c r="Z73" s="33">
        <f>W73*0.1</f>
        <v>325.138</v>
      </c>
      <c r="AA73" s="33"/>
      <c r="AB73" s="33">
        <v>1002</v>
      </c>
      <c r="AC73" s="33">
        <v>1113</v>
      </c>
      <c r="AD73" s="31">
        <v>4495.03</v>
      </c>
      <c r="AE73" s="99">
        <f t="shared" si="23"/>
        <v>3493.03</v>
      </c>
      <c r="AF73" s="99" t="s">
        <v>21</v>
      </c>
      <c r="AG73" s="99">
        <f>AD73*0.09</f>
        <v>404.5527</v>
      </c>
      <c r="AH73" s="99"/>
      <c r="AI73" s="31">
        <f t="shared" si="24"/>
        <v>914</v>
      </c>
      <c r="AJ73" s="31">
        <f t="shared" si="25"/>
        <v>-5</v>
      </c>
    </row>
    <row r="74" spans="1:36">
      <c r="A74" s="89">
        <v>70</v>
      </c>
      <c r="B74" s="89">
        <v>721</v>
      </c>
      <c r="C74" s="21" t="s">
        <v>173</v>
      </c>
      <c r="D74" s="89" t="s">
        <v>109</v>
      </c>
      <c r="E74" s="89" t="s">
        <v>169</v>
      </c>
      <c r="F74" s="89">
        <v>12</v>
      </c>
      <c r="G74" s="89">
        <v>13</v>
      </c>
      <c r="H74" s="89">
        <v>0</v>
      </c>
      <c r="I74" s="89">
        <f t="shared" si="21"/>
        <v>-12</v>
      </c>
      <c r="J74" s="89" t="s">
        <v>274</v>
      </c>
      <c r="K74" s="89"/>
      <c r="L74" s="89">
        <f>I74*1</f>
        <v>-12</v>
      </c>
      <c r="M74" s="89">
        <v>122</v>
      </c>
      <c r="N74" s="33">
        <v>135</v>
      </c>
      <c r="O74" s="33">
        <v>127</v>
      </c>
      <c r="P74" s="33">
        <f t="shared" si="16"/>
        <v>5</v>
      </c>
      <c r="Q74" s="33" t="s">
        <v>20</v>
      </c>
      <c r="R74" s="33">
        <f>O74*1.5</f>
        <v>190.5</v>
      </c>
      <c r="S74" s="33"/>
      <c r="T74" s="33">
        <v>8</v>
      </c>
      <c r="U74" s="33">
        <v>9</v>
      </c>
      <c r="V74" s="33">
        <f>VLOOKUP(B:B,'[4]SQL Results'!$B$1:$Q$65536,16,0)</f>
        <v>13</v>
      </c>
      <c r="W74" s="33">
        <f>VLOOKUP(B:B,'[4]SQL Results'!$B$1:$P$65536,15,0)</f>
        <v>2635.88</v>
      </c>
      <c r="X74" s="33">
        <f t="shared" si="22"/>
        <v>5</v>
      </c>
      <c r="Y74" s="33" t="s">
        <v>21</v>
      </c>
      <c r="Z74" s="33">
        <f>W74*0.1</f>
        <v>263.588</v>
      </c>
      <c r="AA74" s="33"/>
      <c r="AB74" s="33">
        <v>2449</v>
      </c>
      <c r="AC74" s="33">
        <v>2721</v>
      </c>
      <c r="AD74" s="31">
        <v>2678.5</v>
      </c>
      <c r="AE74" s="99">
        <f t="shared" si="23"/>
        <v>229.5</v>
      </c>
      <c r="AF74" s="99" t="s">
        <v>20</v>
      </c>
      <c r="AG74" s="99">
        <f>AD74*0.07</f>
        <v>187.495</v>
      </c>
      <c r="AH74" s="99"/>
      <c r="AI74" s="31">
        <f t="shared" si="24"/>
        <v>642</v>
      </c>
      <c r="AJ74" s="31">
        <f t="shared" si="25"/>
        <v>-12</v>
      </c>
    </row>
    <row r="75" spans="1:36">
      <c r="A75" s="89">
        <v>71</v>
      </c>
      <c r="B75" s="89">
        <v>717</v>
      </c>
      <c r="C75" s="21" t="s">
        <v>174</v>
      </c>
      <c r="D75" s="89" t="s">
        <v>109</v>
      </c>
      <c r="E75" s="89" t="s">
        <v>169</v>
      </c>
      <c r="F75" s="89">
        <v>4</v>
      </c>
      <c r="G75" s="89">
        <v>4</v>
      </c>
      <c r="H75" s="89">
        <f>VLOOKUP(B:B,'[4]SQL Results'!$B$1:$L$65536,11,0)</f>
        <v>4</v>
      </c>
      <c r="I75" s="89">
        <f t="shared" si="21"/>
        <v>0</v>
      </c>
      <c r="J75" s="89" t="s">
        <v>21</v>
      </c>
      <c r="K75" s="89">
        <f>H75*3.5</f>
        <v>14</v>
      </c>
      <c r="L75" s="89"/>
      <c r="M75" s="89">
        <v>57</v>
      </c>
      <c r="N75" s="33">
        <v>63</v>
      </c>
      <c r="O75" s="33">
        <v>83</v>
      </c>
      <c r="P75" s="33">
        <f t="shared" si="16"/>
        <v>26</v>
      </c>
      <c r="Q75" s="33" t="s">
        <v>21</v>
      </c>
      <c r="R75" s="33">
        <f t="shared" ref="R75:R83" si="26">O75*2.5</f>
        <v>207.5</v>
      </c>
      <c r="S75" s="33"/>
      <c r="T75" s="33">
        <v>4</v>
      </c>
      <c r="U75" s="33">
        <v>4</v>
      </c>
      <c r="V75" s="33">
        <f>VLOOKUP(B:B,'[4]SQL Results'!$B$1:$Q$65536,16,0)</f>
        <v>11</v>
      </c>
      <c r="W75" s="33">
        <f>VLOOKUP(B:B,'[4]SQL Results'!$B$1:$P$65536,15,0)</f>
        <v>2146</v>
      </c>
      <c r="X75" s="33">
        <f t="shared" si="22"/>
        <v>7</v>
      </c>
      <c r="Y75" s="33" t="s">
        <v>21</v>
      </c>
      <c r="Z75" s="33">
        <f>W75*0.1</f>
        <v>214.6</v>
      </c>
      <c r="AA75" s="33"/>
      <c r="AB75" s="33">
        <v>1000</v>
      </c>
      <c r="AC75" s="33">
        <v>1111</v>
      </c>
      <c r="AD75" s="31">
        <v>2149</v>
      </c>
      <c r="AE75" s="99">
        <f t="shared" si="23"/>
        <v>1149</v>
      </c>
      <c r="AF75" s="99" t="s">
        <v>21</v>
      </c>
      <c r="AG75" s="99">
        <f>AD75*0.09</f>
        <v>193.41</v>
      </c>
      <c r="AH75" s="99"/>
      <c r="AI75" s="31">
        <f t="shared" si="24"/>
        <v>630</v>
      </c>
      <c r="AJ75" s="31">
        <f t="shared" si="25"/>
        <v>0</v>
      </c>
    </row>
    <row r="76" spans="1:36">
      <c r="A76" s="89">
        <v>72</v>
      </c>
      <c r="B76" s="89">
        <v>591</v>
      </c>
      <c r="C76" s="21" t="s">
        <v>175</v>
      </c>
      <c r="D76" s="89" t="s">
        <v>109</v>
      </c>
      <c r="E76" s="89" t="s">
        <v>169</v>
      </c>
      <c r="F76" s="89">
        <v>12</v>
      </c>
      <c r="G76" s="89">
        <v>13</v>
      </c>
      <c r="H76" s="89">
        <f>VLOOKUP(B:B,'[4]SQL Results'!$B$1:$L$65536,11,0)</f>
        <v>7</v>
      </c>
      <c r="I76" s="89">
        <f t="shared" si="21"/>
        <v>-5</v>
      </c>
      <c r="J76" s="89" t="s">
        <v>274</v>
      </c>
      <c r="K76" s="89">
        <f>H76*1</f>
        <v>7</v>
      </c>
      <c r="L76" s="89">
        <f>I76*1</f>
        <v>-5</v>
      </c>
      <c r="M76" s="89">
        <v>125</v>
      </c>
      <c r="N76" s="33">
        <v>139</v>
      </c>
      <c r="O76" s="33">
        <v>172</v>
      </c>
      <c r="P76" s="33">
        <f t="shared" si="16"/>
        <v>47</v>
      </c>
      <c r="Q76" s="33" t="s">
        <v>21</v>
      </c>
      <c r="R76" s="33">
        <f t="shared" si="26"/>
        <v>430</v>
      </c>
      <c r="S76" s="33"/>
      <c r="T76" s="33">
        <v>6</v>
      </c>
      <c r="U76" s="33">
        <v>7</v>
      </c>
      <c r="V76" s="33">
        <f>VLOOKUP(B:B,'[4]SQL Results'!$B$1:$Q$65536,16,0)</f>
        <v>9</v>
      </c>
      <c r="W76" s="33">
        <f>VLOOKUP(B:B,'[4]SQL Results'!$B$1:$P$65536,15,0)</f>
        <v>1290.59</v>
      </c>
      <c r="X76" s="33">
        <f t="shared" si="22"/>
        <v>3</v>
      </c>
      <c r="Y76" s="33" t="s">
        <v>21</v>
      </c>
      <c r="Z76" s="33">
        <f>W76*0.1</f>
        <v>129.059</v>
      </c>
      <c r="AA76" s="33"/>
      <c r="AB76" s="33">
        <v>3173</v>
      </c>
      <c r="AC76" s="33">
        <v>3525</v>
      </c>
      <c r="AD76" s="31">
        <v>3358.44</v>
      </c>
      <c r="AE76" s="99">
        <f t="shared" si="23"/>
        <v>185.44</v>
      </c>
      <c r="AF76" s="99" t="s">
        <v>20</v>
      </c>
      <c r="AG76" s="99">
        <f>AD76*0.07</f>
        <v>235.0908</v>
      </c>
      <c r="AH76" s="99"/>
      <c r="AI76" s="31">
        <f t="shared" si="24"/>
        <v>801</v>
      </c>
      <c r="AJ76" s="31">
        <f t="shared" si="25"/>
        <v>-5</v>
      </c>
    </row>
    <row r="77" spans="1:36">
      <c r="A77" s="89">
        <v>73</v>
      </c>
      <c r="B77" s="89">
        <v>748</v>
      </c>
      <c r="C77" s="21" t="s">
        <v>176</v>
      </c>
      <c r="D77" s="89" t="s">
        <v>113</v>
      </c>
      <c r="E77" s="89" t="s">
        <v>169</v>
      </c>
      <c r="F77" s="89">
        <v>7</v>
      </c>
      <c r="G77" s="89">
        <v>8</v>
      </c>
      <c r="H77" s="89">
        <f>VLOOKUP(B:B,'[4]SQL Results'!$B$1:$L$65536,11,0)</f>
        <v>18</v>
      </c>
      <c r="I77" s="89">
        <f t="shared" si="21"/>
        <v>11</v>
      </c>
      <c r="J77" s="89" t="s">
        <v>21</v>
      </c>
      <c r="K77" s="89">
        <f>H77*3.5</f>
        <v>63</v>
      </c>
      <c r="L77" s="89"/>
      <c r="M77" s="89">
        <v>32</v>
      </c>
      <c r="N77" s="33">
        <v>36</v>
      </c>
      <c r="O77" s="33">
        <v>109</v>
      </c>
      <c r="P77" s="33">
        <f t="shared" ref="P77:P104" si="27">O77-M77</f>
        <v>77</v>
      </c>
      <c r="Q77" s="33" t="s">
        <v>21</v>
      </c>
      <c r="R77" s="33">
        <f t="shared" si="26"/>
        <v>272.5</v>
      </c>
      <c r="S77" s="33"/>
      <c r="T77" s="33">
        <v>7</v>
      </c>
      <c r="U77" s="33">
        <v>8</v>
      </c>
      <c r="V77" s="33">
        <f>VLOOKUP(B:B,'[4]SQL Results'!$B$1:$Q$65536,16,0)</f>
        <v>4</v>
      </c>
      <c r="W77" s="33">
        <f>VLOOKUP(B:B,'[4]SQL Results'!$B$1:$P$65536,15,0)</f>
        <v>986.64</v>
      </c>
      <c r="X77" s="33">
        <f t="shared" si="22"/>
        <v>-3</v>
      </c>
      <c r="Y77" s="33" t="s">
        <v>274</v>
      </c>
      <c r="Z77" s="33">
        <f>W77*0.05</f>
        <v>49.332</v>
      </c>
      <c r="AA77" s="33">
        <f>X77*8</f>
        <v>-24</v>
      </c>
      <c r="AB77" s="33">
        <v>3066</v>
      </c>
      <c r="AC77" s="33">
        <v>3407</v>
      </c>
      <c r="AD77" s="31">
        <v>402</v>
      </c>
      <c r="AE77" s="99">
        <f t="shared" si="23"/>
        <v>-2664</v>
      </c>
      <c r="AF77" s="99" t="s">
        <v>274</v>
      </c>
      <c r="AG77" s="99">
        <f>AD77*0.05</f>
        <v>20.1</v>
      </c>
      <c r="AH77" s="99">
        <f>AE77*0.04</f>
        <v>-106.56</v>
      </c>
      <c r="AI77" s="31">
        <f t="shared" si="24"/>
        <v>405</v>
      </c>
      <c r="AJ77" s="31">
        <f t="shared" si="25"/>
        <v>-131</v>
      </c>
    </row>
    <row r="78" spans="1:36">
      <c r="A78" s="89">
        <v>74</v>
      </c>
      <c r="B78" s="89">
        <v>371</v>
      </c>
      <c r="C78" s="21" t="s">
        <v>177</v>
      </c>
      <c r="D78" s="89" t="s">
        <v>139</v>
      </c>
      <c r="E78" s="89" t="s">
        <v>169</v>
      </c>
      <c r="F78" s="89">
        <v>4</v>
      </c>
      <c r="G78" s="89">
        <v>4</v>
      </c>
      <c r="H78" s="89">
        <v>0</v>
      </c>
      <c r="I78" s="89">
        <f t="shared" si="21"/>
        <v>-4</v>
      </c>
      <c r="J78" s="89" t="s">
        <v>274</v>
      </c>
      <c r="K78" s="89"/>
      <c r="L78" s="89">
        <f>I78*1</f>
        <v>-4</v>
      </c>
      <c r="M78" s="89">
        <v>67</v>
      </c>
      <c r="N78" s="33">
        <v>74</v>
      </c>
      <c r="O78" s="33">
        <v>101</v>
      </c>
      <c r="P78" s="33">
        <f t="shared" si="27"/>
        <v>34</v>
      </c>
      <c r="Q78" s="33" t="s">
        <v>21</v>
      </c>
      <c r="R78" s="33">
        <f t="shared" si="26"/>
        <v>252.5</v>
      </c>
      <c r="S78" s="33"/>
      <c r="T78" s="33">
        <v>5</v>
      </c>
      <c r="U78" s="33">
        <v>5</v>
      </c>
      <c r="V78" s="33">
        <f>VLOOKUP(B:B,'[4]SQL Results'!$B$1:$Q$65536,16,0)</f>
        <v>2</v>
      </c>
      <c r="W78" s="33">
        <f>VLOOKUP(B:B,'[4]SQL Results'!$B$1:$P$65536,15,0)</f>
        <v>676</v>
      </c>
      <c r="X78" s="33">
        <f t="shared" si="22"/>
        <v>-3</v>
      </c>
      <c r="Y78" s="33" t="s">
        <v>274</v>
      </c>
      <c r="Z78" s="33">
        <f>W78*0.05</f>
        <v>33.8</v>
      </c>
      <c r="AA78" s="33">
        <f>X78*8</f>
        <v>-24</v>
      </c>
      <c r="AB78" s="33">
        <v>2000</v>
      </c>
      <c r="AC78" s="33">
        <v>2222</v>
      </c>
      <c r="AD78" s="31">
        <v>940.92</v>
      </c>
      <c r="AE78" s="99">
        <f t="shared" si="23"/>
        <v>-1059.08</v>
      </c>
      <c r="AF78" s="99" t="s">
        <v>274</v>
      </c>
      <c r="AG78" s="99">
        <f>AD78*0.05</f>
        <v>47.046</v>
      </c>
      <c r="AH78" s="99">
        <f>AE78*0.04</f>
        <v>-42.3632</v>
      </c>
      <c r="AI78" s="31">
        <f t="shared" si="24"/>
        <v>333</v>
      </c>
      <c r="AJ78" s="31">
        <f t="shared" si="25"/>
        <v>-70</v>
      </c>
    </row>
    <row r="79" spans="1:36">
      <c r="A79" s="89">
        <v>75</v>
      </c>
      <c r="B79" s="89">
        <v>539</v>
      </c>
      <c r="C79" s="21" t="s">
        <v>178</v>
      </c>
      <c r="D79" s="89" t="s">
        <v>139</v>
      </c>
      <c r="E79" s="89" t="s">
        <v>169</v>
      </c>
      <c r="F79" s="89">
        <v>10</v>
      </c>
      <c r="G79" s="89">
        <v>11</v>
      </c>
      <c r="H79" s="89">
        <f>VLOOKUP(B:B,'[4]SQL Results'!$B$1:$L$65536,11,0)</f>
        <v>8</v>
      </c>
      <c r="I79" s="89">
        <f t="shared" si="21"/>
        <v>-2</v>
      </c>
      <c r="J79" s="89" t="s">
        <v>274</v>
      </c>
      <c r="K79" s="89">
        <f>H79*1</f>
        <v>8</v>
      </c>
      <c r="L79" s="89">
        <f>I79*1</f>
        <v>-2</v>
      </c>
      <c r="M79" s="89">
        <v>32</v>
      </c>
      <c r="N79" s="33">
        <v>36</v>
      </c>
      <c r="O79" s="33">
        <v>37</v>
      </c>
      <c r="P79" s="33">
        <f t="shared" si="27"/>
        <v>5</v>
      </c>
      <c r="Q79" s="33" t="s">
        <v>21</v>
      </c>
      <c r="R79" s="33">
        <f t="shared" si="26"/>
        <v>92.5</v>
      </c>
      <c r="S79" s="33"/>
      <c r="T79" s="33">
        <v>5</v>
      </c>
      <c r="U79" s="33">
        <v>6</v>
      </c>
      <c r="V79" s="33">
        <f>VLOOKUP(B:B,'[4]SQL Results'!$B$1:$Q$65536,16,0)</f>
        <v>5</v>
      </c>
      <c r="W79" s="33">
        <f>VLOOKUP(B:B,'[4]SQL Results'!$B$1:$P$65536,15,0)</f>
        <v>1362</v>
      </c>
      <c r="X79" s="33">
        <f t="shared" si="22"/>
        <v>0</v>
      </c>
      <c r="Y79" s="33" t="s">
        <v>20</v>
      </c>
      <c r="Z79" s="33">
        <f>W79*0.08</f>
        <v>108.96</v>
      </c>
      <c r="AA79" s="33"/>
      <c r="AB79" s="33">
        <v>2358</v>
      </c>
      <c r="AC79" s="33">
        <v>2620</v>
      </c>
      <c r="AD79" s="31">
        <v>1556.3</v>
      </c>
      <c r="AE79" s="99">
        <f t="shared" si="23"/>
        <v>-801.7</v>
      </c>
      <c r="AF79" s="99" t="s">
        <v>274</v>
      </c>
      <c r="AG79" s="99">
        <f>AD79*0.05</f>
        <v>77.815</v>
      </c>
      <c r="AH79" s="99">
        <f>AE79*0.04</f>
        <v>-32.068</v>
      </c>
      <c r="AI79" s="31">
        <f t="shared" si="24"/>
        <v>287</v>
      </c>
      <c r="AJ79" s="31">
        <f t="shared" si="25"/>
        <v>-34</v>
      </c>
    </row>
    <row r="80" spans="1:36">
      <c r="A80" s="89">
        <v>76</v>
      </c>
      <c r="B80" s="89">
        <v>720</v>
      </c>
      <c r="C80" s="21" t="s">
        <v>179</v>
      </c>
      <c r="D80" s="89" t="s">
        <v>113</v>
      </c>
      <c r="E80" s="89" t="s">
        <v>169</v>
      </c>
      <c r="F80" s="89">
        <v>5</v>
      </c>
      <c r="G80" s="89">
        <v>5</v>
      </c>
      <c r="H80" s="89">
        <f>VLOOKUP(B:B,'[4]SQL Results'!$B$1:$L$65536,11,0)</f>
        <v>4</v>
      </c>
      <c r="I80" s="89">
        <f t="shared" si="21"/>
        <v>-1</v>
      </c>
      <c r="J80" s="89" t="s">
        <v>274</v>
      </c>
      <c r="K80" s="89">
        <f>H80*1</f>
        <v>4</v>
      </c>
      <c r="L80" s="89">
        <f>I80*1</f>
        <v>-1</v>
      </c>
      <c r="M80" s="89">
        <v>44</v>
      </c>
      <c r="N80" s="33">
        <v>49</v>
      </c>
      <c r="O80" s="33">
        <v>67</v>
      </c>
      <c r="P80" s="33">
        <f t="shared" si="27"/>
        <v>23</v>
      </c>
      <c r="Q80" s="33" t="s">
        <v>21</v>
      </c>
      <c r="R80" s="33">
        <f t="shared" si="26"/>
        <v>167.5</v>
      </c>
      <c r="S80" s="33"/>
      <c r="T80" s="33">
        <v>3</v>
      </c>
      <c r="U80" s="33">
        <v>3</v>
      </c>
      <c r="V80" s="33">
        <f>VLOOKUP(B:B,'[4]SQL Results'!$B$1:$Q$65536,16,0)</f>
        <v>2</v>
      </c>
      <c r="W80" s="33">
        <f>VLOOKUP(B:B,'[4]SQL Results'!$B$1:$P$65536,15,0)</f>
        <v>198.01</v>
      </c>
      <c r="X80" s="33">
        <f t="shared" si="22"/>
        <v>-1</v>
      </c>
      <c r="Y80" s="33" t="s">
        <v>274</v>
      </c>
      <c r="Z80" s="33">
        <f>W80*0.05</f>
        <v>9.9005</v>
      </c>
      <c r="AA80" s="33">
        <f>X80*8</f>
        <v>-8</v>
      </c>
      <c r="AB80" s="33">
        <v>2578</v>
      </c>
      <c r="AC80" s="33">
        <v>2864</v>
      </c>
      <c r="AD80" s="31">
        <v>1906</v>
      </c>
      <c r="AE80" s="99">
        <f t="shared" si="23"/>
        <v>-672</v>
      </c>
      <c r="AF80" s="99" t="s">
        <v>274</v>
      </c>
      <c r="AG80" s="99">
        <f>AD80*0.05</f>
        <v>95.3</v>
      </c>
      <c r="AH80" s="99">
        <f>AE80*0.04</f>
        <v>-26.88</v>
      </c>
      <c r="AI80" s="31">
        <f t="shared" si="24"/>
        <v>277</v>
      </c>
      <c r="AJ80" s="31">
        <f t="shared" si="25"/>
        <v>-36</v>
      </c>
    </row>
    <row r="81" spans="1:36">
      <c r="A81" s="89">
        <v>77</v>
      </c>
      <c r="B81" s="89">
        <v>594</v>
      </c>
      <c r="C81" s="21" t="s">
        <v>180</v>
      </c>
      <c r="D81" s="89" t="s">
        <v>113</v>
      </c>
      <c r="E81" s="89" t="s">
        <v>169</v>
      </c>
      <c r="F81" s="89">
        <v>5</v>
      </c>
      <c r="G81" s="89">
        <v>6</v>
      </c>
      <c r="H81" s="89">
        <f>VLOOKUP(B:B,'[4]SQL Results'!$B$1:$L$65536,11,0)</f>
        <v>6</v>
      </c>
      <c r="I81" s="89">
        <f t="shared" si="21"/>
        <v>1</v>
      </c>
      <c r="J81" s="89" t="s">
        <v>21</v>
      </c>
      <c r="K81" s="89">
        <f>H81*3.5</f>
        <v>21</v>
      </c>
      <c r="L81" s="89"/>
      <c r="M81" s="89">
        <v>38</v>
      </c>
      <c r="N81" s="33">
        <v>42</v>
      </c>
      <c r="O81" s="33">
        <v>47</v>
      </c>
      <c r="P81" s="33">
        <f t="shared" si="27"/>
        <v>9</v>
      </c>
      <c r="Q81" s="33" t="s">
        <v>21</v>
      </c>
      <c r="R81" s="33">
        <f t="shared" si="26"/>
        <v>117.5</v>
      </c>
      <c r="S81" s="33"/>
      <c r="T81" s="33">
        <v>5</v>
      </c>
      <c r="U81" s="33">
        <v>6</v>
      </c>
      <c r="V81" s="33">
        <f>VLOOKUP(B:B,'[4]SQL Results'!$B$1:$Q$65536,16,0)</f>
        <v>8</v>
      </c>
      <c r="W81" s="33">
        <f>VLOOKUP(B:B,'[4]SQL Results'!$B$1:$P$65536,15,0)</f>
        <v>792</v>
      </c>
      <c r="X81" s="33">
        <f t="shared" si="22"/>
        <v>3</v>
      </c>
      <c r="Y81" s="33" t="s">
        <v>21</v>
      </c>
      <c r="Z81" s="33">
        <f>W81*0.1</f>
        <v>79.2</v>
      </c>
      <c r="AA81" s="33"/>
      <c r="AB81" s="33">
        <v>2913</v>
      </c>
      <c r="AC81" s="33">
        <v>3237</v>
      </c>
      <c r="AD81" s="31">
        <v>2610.06</v>
      </c>
      <c r="AE81" s="99">
        <f t="shared" si="23"/>
        <v>-302.94</v>
      </c>
      <c r="AF81" s="99" t="s">
        <v>274</v>
      </c>
      <c r="AG81" s="99">
        <f>AD81*0.05</f>
        <v>130.503</v>
      </c>
      <c r="AH81" s="99">
        <f>AE81*0.04</f>
        <v>-12.1176</v>
      </c>
      <c r="AI81" s="31">
        <f t="shared" si="24"/>
        <v>348</v>
      </c>
      <c r="AJ81" s="31">
        <f t="shared" si="25"/>
        <v>-12</v>
      </c>
    </row>
    <row r="82" spans="1:36">
      <c r="A82" s="89">
        <v>78</v>
      </c>
      <c r="B82" s="89">
        <v>549</v>
      </c>
      <c r="C82" s="21" t="s">
        <v>181</v>
      </c>
      <c r="D82" s="89" t="s">
        <v>139</v>
      </c>
      <c r="E82" s="89" t="s">
        <v>169</v>
      </c>
      <c r="F82" s="89">
        <v>10</v>
      </c>
      <c r="G82" s="89">
        <v>11</v>
      </c>
      <c r="H82" s="89">
        <f>VLOOKUP(B:B,'[4]SQL Results'!$B$1:$L$65536,11,0)</f>
        <v>11</v>
      </c>
      <c r="I82" s="89">
        <f t="shared" si="21"/>
        <v>1</v>
      </c>
      <c r="J82" s="89" t="s">
        <v>21</v>
      </c>
      <c r="K82" s="89">
        <f>H82*3.5</f>
        <v>38.5</v>
      </c>
      <c r="L82" s="89"/>
      <c r="M82" s="89">
        <v>32</v>
      </c>
      <c r="N82" s="33">
        <v>36</v>
      </c>
      <c r="O82" s="33">
        <v>39</v>
      </c>
      <c r="P82" s="33">
        <f t="shared" si="27"/>
        <v>7</v>
      </c>
      <c r="Q82" s="33" t="s">
        <v>21</v>
      </c>
      <c r="R82" s="33">
        <f t="shared" si="26"/>
        <v>97.5</v>
      </c>
      <c r="S82" s="33"/>
      <c r="T82" s="33">
        <v>15</v>
      </c>
      <c r="U82" s="33">
        <v>17</v>
      </c>
      <c r="V82" s="33">
        <f>VLOOKUP(B:B,'[4]SQL Results'!$B$1:$Q$65536,16,0)</f>
        <v>11</v>
      </c>
      <c r="W82" s="33">
        <f>VLOOKUP(B:B,'[4]SQL Results'!$B$1:$P$65536,15,0)</f>
        <v>2904</v>
      </c>
      <c r="X82" s="33">
        <f t="shared" si="22"/>
        <v>-4</v>
      </c>
      <c r="Y82" s="33" t="s">
        <v>274</v>
      </c>
      <c r="Z82" s="33">
        <f>W82*0.05</f>
        <v>145.2</v>
      </c>
      <c r="AA82" s="33">
        <f>X82*8</f>
        <v>-32</v>
      </c>
      <c r="AB82" s="33">
        <v>1283</v>
      </c>
      <c r="AC82" s="33">
        <v>1425</v>
      </c>
      <c r="AD82" s="31">
        <v>1886</v>
      </c>
      <c r="AE82" s="99">
        <f t="shared" si="23"/>
        <v>603</v>
      </c>
      <c r="AF82" s="99" t="s">
        <v>21</v>
      </c>
      <c r="AG82" s="99">
        <f>AD82*0.09</f>
        <v>169.74</v>
      </c>
      <c r="AH82" s="99"/>
      <c r="AI82" s="31">
        <f t="shared" si="24"/>
        <v>451</v>
      </c>
      <c r="AJ82" s="31">
        <f t="shared" si="25"/>
        <v>-32</v>
      </c>
    </row>
    <row r="83" spans="1:36">
      <c r="A83" s="89">
        <v>79</v>
      </c>
      <c r="B83" s="89">
        <v>716</v>
      </c>
      <c r="C83" s="21" t="s">
        <v>182</v>
      </c>
      <c r="D83" s="89" t="s">
        <v>139</v>
      </c>
      <c r="E83" s="89" t="s">
        <v>169</v>
      </c>
      <c r="F83" s="89">
        <v>10</v>
      </c>
      <c r="G83" s="89">
        <v>11</v>
      </c>
      <c r="H83" s="89">
        <f>VLOOKUP(B:B,'[4]SQL Results'!$B$1:$L$65536,11,0)</f>
        <v>21</v>
      </c>
      <c r="I83" s="89">
        <f t="shared" si="21"/>
        <v>11</v>
      </c>
      <c r="J83" s="89" t="s">
        <v>21</v>
      </c>
      <c r="K83" s="89">
        <f>H83*3.5</f>
        <v>73.5</v>
      </c>
      <c r="L83" s="89"/>
      <c r="M83" s="89">
        <v>45</v>
      </c>
      <c r="N83" s="33">
        <v>50</v>
      </c>
      <c r="O83" s="33">
        <v>63</v>
      </c>
      <c r="P83" s="33">
        <f t="shared" si="27"/>
        <v>18</v>
      </c>
      <c r="Q83" s="33" t="s">
        <v>21</v>
      </c>
      <c r="R83" s="33">
        <f t="shared" si="26"/>
        <v>157.5</v>
      </c>
      <c r="S83" s="33"/>
      <c r="T83" s="33">
        <v>6</v>
      </c>
      <c r="U83" s="33">
        <v>7</v>
      </c>
      <c r="V83" s="33">
        <f>VLOOKUP(B:B,'[4]SQL Results'!$B$1:$Q$65536,16,0)</f>
        <v>26</v>
      </c>
      <c r="W83" s="33">
        <f>VLOOKUP(B:B,'[4]SQL Results'!$B$1:$P$65536,15,0)</f>
        <v>5156.02</v>
      </c>
      <c r="X83" s="33">
        <f t="shared" si="22"/>
        <v>20</v>
      </c>
      <c r="Y83" s="33" t="s">
        <v>21</v>
      </c>
      <c r="Z83" s="33">
        <f>W83*0.1</f>
        <v>515.602</v>
      </c>
      <c r="AA83" s="33"/>
      <c r="AB83" s="33">
        <v>3342</v>
      </c>
      <c r="AC83" s="33">
        <v>3713</v>
      </c>
      <c r="AD83" s="31">
        <v>3246.5</v>
      </c>
      <c r="AE83" s="99">
        <f t="shared" si="23"/>
        <v>-95.5</v>
      </c>
      <c r="AF83" s="99" t="s">
        <v>274</v>
      </c>
      <c r="AG83" s="99">
        <f>AD83*0.05</f>
        <v>162.325</v>
      </c>
      <c r="AH83" s="99">
        <f>AE83*0.04</f>
        <v>-3.82</v>
      </c>
      <c r="AI83" s="31">
        <f t="shared" si="24"/>
        <v>909</v>
      </c>
      <c r="AJ83" s="31">
        <f t="shared" si="25"/>
        <v>-4</v>
      </c>
    </row>
    <row r="84" s="79" customFormat="1" spans="1:36">
      <c r="A84" s="89">
        <v>80</v>
      </c>
      <c r="B84" s="89">
        <v>732</v>
      </c>
      <c r="C84" s="21" t="s">
        <v>183</v>
      </c>
      <c r="D84" s="89" t="s">
        <v>139</v>
      </c>
      <c r="E84" s="89" t="s">
        <v>169</v>
      </c>
      <c r="F84" s="89">
        <v>4</v>
      </c>
      <c r="G84" s="89">
        <v>4</v>
      </c>
      <c r="H84" s="89">
        <v>0</v>
      </c>
      <c r="I84" s="89">
        <f t="shared" si="21"/>
        <v>-4</v>
      </c>
      <c r="J84" s="89" t="s">
        <v>274</v>
      </c>
      <c r="K84" s="89"/>
      <c r="L84" s="89">
        <f>I84*1</f>
        <v>-4</v>
      </c>
      <c r="M84" s="89">
        <v>50</v>
      </c>
      <c r="N84" s="33">
        <v>55</v>
      </c>
      <c r="O84" s="33">
        <v>54</v>
      </c>
      <c r="P84" s="33">
        <f t="shared" si="27"/>
        <v>4</v>
      </c>
      <c r="Q84" s="33" t="s">
        <v>20</v>
      </c>
      <c r="R84" s="33">
        <f>O84*1.5</f>
        <v>81</v>
      </c>
      <c r="S84" s="33"/>
      <c r="T84" s="33">
        <v>5</v>
      </c>
      <c r="U84" s="33">
        <v>6</v>
      </c>
      <c r="V84" s="33">
        <f>VLOOKUP(B:B,'[4]SQL Results'!$B$1:$Q$65536,16,0)</f>
        <v>11</v>
      </c>
      <c r="W84" s="33">
        <f>VLOOKUP(B:B,'[4]SQL Results'!$B$1:$P$65536,15,0)</f>
        <v>2996.78</v>
      </c>
      <c r="X84" s="33">
        <f t="shared" si="22"/>
        <v>6</v>
      </c>
      <c r="Y84" s="33" t="s">
        <v>21</v>
      </c>
      <c r="Z84" s="33">
        <f>W84*0.1</f>
        <v>299.678</v>
      </c>
      <c r="AA84" s="33"/>
      <c r="AB84" s="33">
        <v>3709</v>
      </c>
      <c r="AC84" s="33">
        <v>4121</v>
      </c>
      <c r="AD84" s="31">
        <v>2320.57</v>
      </c>
      <c r="AE84" s="99">
        <f t="shared" si="23"/>
        <v>-1388.43</v>
      </c>
      <c r="AF84" s="99" t="s">
        <v>274</v>
      </c>
      <c r="AG84" s="99">
        <f>AD84*0.05</f>
        <v>116.0285</v>
      </c>
      <c r="AH84" s="99">
        <f>AE84*0.04</f>
        <v>-55.5372</v>
      </c>
      <c r="AI84" s="31">
        <f t="shared" si="24"/>
        <v>497</v>
      </c>
      <c r="AJ84" s="31">
        <f t="shared" si="25"/>
        <v>-60</v>
      </c>
    </row>
    <row r="85" spans="1:36">
      <c r="A85" s="89">
        <v>81</v>
      </c>
      <c r="B85" s="91">
        <v>102567</v>
      </c>
      <c r="C85" s="21" t="s">
        <v>184</v>
      </c>
      <c r="D85" s="89" t="s">
        <v>109</v>
      </c>
      <c r="E85" s="89" t="s">
        <v>169</v>
      </c>
      <c r="F85" s="89">
        <v>4</v>
      </c>
      <c r="G85" s="89">
        <v>4</v>
      </c>
      <c r="H85" s="89">
        <f>VLOOKUP(B:B,'[4]SQL Results'!$B$1:$L$65536,11,0)</f>
        <v>4</v>
      </c>
      <c r="I85" s="89">
        <f t="shared" si="21"/>
        <v>0</v>
      </c>
      <c r="J85" s="89" t="s">
        <v>21</v>
      </c>
      <c r="K85" s="89">
        <f>H85*3.5</f>
        <v>14</v>
      </c>
      <c r="L85" s="89"/>
      <c r="M85" s="89">
        <v>32</v>
      </c>
      <c r="N85" s="33">
        <v>36</v>
      </c>
      <c r="O85" s="33">
        <v>32</v>
      </c>
      <c r="P85" s="33">
        <f t="shared" si="27"/>
        <v>0</v>
      </c>
      <c r="Q85" s="33" t="s">
        <v>20</v>
      </c>
      <c r="R85" s="33">
        <f>O85*1.5</f>
        <v>48</v>
      </c>
      <c r="S85" s="33"/>
      <c r="T85" s="33">
        <v>12</v>
      </c>
      <c r="U85" s="33">
        <v>13</v>
      </c>
      <c r="V85" s="33">
        <f>VLOOKUP(B:B,'[4]SQL Results'!$B$1:$Q$65536,16,0)</f>
        <v>5</v>
      </c>
      <c r="W85" s="33">
        <f>VLOOKUP(B:B,'[4]SQL Results'!$B$1:$P$65536,15,0)</f>
        <v>1366.64</v>
      </c>
      <c r="X85" s="33">
        <f t="shared" si="22"/>
        <v>-7</v>
      </c>
      <c r="Y85" s="33" t="s">
        <v>274</v>
      </c>
      <c r="Z85" s="33">
        <f>W85*0.05</f>
        <v>68.332</v>
      </c>
      <c r="AA85" s="33">
        <f>X85*8</f>
        <v>-56</v>
      </c>
      <c r="AB85" s="33">
        <v>1323</v>
      </c>
      <c r="AC85" s="33">
        <v>1470</v>
      </c>
      <c r="AD85" s="31">
        <v>2761.03</v>
      </c>
      <c r="AE85" s="99">
        <f t="shared" si="23"/>
        <v>1438.03</v>
      </c>
      <c r="AF85" s="99" t="s">
        <v>21</v>
      </c>
      <c r="AG85" s="99">
        <f>AD85*0.09</f>
        <v>248.4927</v>
      </c>
      <c r="AH85" s="99"/>
      <c r="AI85" s="31">
        <f t="shared" si="24"/>
        <v>379</v>
      </c>
      <c r="AJ85" s="31">
        <f t="shared" si="25"/>
        <v>-56</v>
      </c>
    </row>
    <row r="86" spans="1:36">
      <c r="A86" s="89">
        <v>82</v>
      </c>
      <c r="B86" s="91">
        <v>104533</v>
      </c>
      <c r="C86" s="24" t="s">
        <v>186</v>
      </c>
      <c r="D86" s="92"/>
      <c r="E86" s="89" t="s">
        <v>169</v>
      </c>
      <c r="F86" s="89">
        <v>4</v>
      </c>
      <c r="G86" s="89">
        <v>4</v>
      </c>
      <c r="H86" s="89">
        <v>0</v>
      </c>
      <c r="I86" s="89">
        <f t="shared" si="21"/>
        <v>-4</v>
      </c>
      <c r="J86" s="89" t="s">
        <v>274</v>
      </c>
      <c r="K86" s="89"/>
      <c r="L86" s="89">
        <f>I86*1</f>
        <v>-4</v>
      </c>
      <c r="M86" s="89">
        <v>32</v>
      </c>
      <c r="N86" s="33">
        <v>36</v>
      </c>
      <c r="O86" s="33">
        <v>37</v>
      </c>
      <c r="P86" s="33">
        <f t="shared" si="27"/>
        <v>5</v>
      </c>
      <c r="Q86" s="33" t="s">
        <v>21</v>
      </c>
      <c r="R86" s="33">
        <f>O86*2.5</f>
        <v>92.5</v>
      </c>
      <c r="S86" s="33"/>
      <c r="T86" s="33">
        <v>5</v>
      </c>
      <c r="U86" s="33">
        <v>5</v>
      </c>
      <c r="V86" s="33">
        <f>VLOOKUP(B:B,'[4]SQL Results'!$B$1:$Q$65536,16,0)</f>
        <v>10</v>
      </c>
      <c r="W86" s="33">
        <f>VLOOKUP(B:B,'[4]SQL Results'!$B$1:$P$65536,15,0)</f>
        <v>1416.32</v>
      </c>
      <c r="X86" s="33">
        <f t="shared" si="22"/>
        <v>5</v>
      </c>
      <c r="Y86" s="33" t="s">
        <v>21</v>
      </c>
      <c r="Z86" s="33">
        <f>W86*0.1</f>
        <v>141.632</v>
      </c>
      <c r="AA86" s="33"/>
      <c r="AB86" s="33">
        <v>648</v>
      </c>
      <c r="AC86" s="33">
        <v>720</v>
      </c>
      <c r="AD86" s="31">
        <v>427.01</v>
      </c>
      <c r="AE86" s="99">
        <f t="shared" si="23"/>
        <v>-220.99</v>
      </c>
      <c r="AF86" s="99" t="s">
        <v>274</v>
      </c>
      <c r="AG86" s="99">
        <f>AD86*0.05</f>
        <v>21.3505</v>
      </c>
      <c r="AH86" s="99">
        <f>AE86*0.04</f>
        <v>-8.8396</v>
      </c>
      <c r="AI86" s="31">
        <f t="shared" si="24"/>
        <v>255</v>
      </c>
      <c r="AJ86" s="31">
        <f t="shared" si="25"/>
        <v>-13</v>
      </c>
    </row>
    <row r="87" spans="1:36">
      <c r="A87" s="89">
        <v>83</v>
      </c>
      <c r="B87" s="89">
        <v>367</v>
      </c>
      <c r="C87" s="21" t="s">
        <v>187</v>
      </c>
      <c r="D87" s="89" t="s">
        <v>109</v>
      </c>
      <c r="E87" s="89" t="s">
        <v>188</v>
      </c>
      <c r="F87" s="89">
        <v>12</v>
      </c>
      <c r="G87" s="89">
        <v>13</v>
      </c>
      <c r="H87" s="89">
        <f>VLOOKUP(B:B,'[4]SQL Results'!$B$1:$L$65536,11,0)</f>
        <v>12</v>
      </c>
      <c r="I87" s="89">
        <f t="shared" si="21"/>
        <v>0</v>
      </c>
      <c r="J87" s="89" t="s">
        <v>20</v>
      </c>
      <c r="K87" s="89">
        <f>H87*2.5</f>
        <v>30</v>
      </c>
      <c r="L87" s="89"/>
      <c r="M87" s="89">
        <v>92</v>
      </c>
      <c r="N87" s="33">
        <v>102</v>
      </c>
      <c r="O87" s="33">
        <v>98</v>
      </c>
      <c r="P87" s="33">
        <f t="shared" si="27"/>
        <v>6</v>
      </c>
      <c r="Q87" s="33" t="s">
        <v>20</v>
      </c>
      <c r="R87" s="33">
        <f>O87*1.5</f>
        <v>147</v>
      </c>
      <c r="S87" s="33"/>
      <c r="T87" s="33">
        <v>11</v>
      </c>
      <c r="U87" s="33">
        <v>12</v>
      </c>
      <c r="V87" s="33">
        <f>VLOOKUP(B:B,'[4]SQL Results'!$B$1:$Q$65536,16,0)</f>
        <v>11</v>
      </c>
      <c r="W87" s="33">
        <f>VLOOKUP(B:B,'[4]SQL Results'!$B$1:$P$65536,15,0)</f>
        <v>2339.88</v>
      </c>
      <c r="X87" s="33">
        <f t="shared" si="22"/>
        <v>0</v>
      </c>
      <c r="Y87" s="33" t="s">
        <v>20</v>
      </c>
      <c r="Z87" s="33">
        <f>W87*0.08</f>
        <v>187.1904</v>
      </c>
      <c r="AA87" s="33"/>
      <c r="AB87" s="33">
        <v>2102</v>
      </c>
      <c r="AC87" s="33">
        <v>2336</v>
      </c>
      <c r="AD87" s="31">
        <v>2422.5</v>
      </c>
      <c r="AE87" s="99">
        <f t="shared" si="23"/>
        <v>320.5</v>
      </c>
      <c r="AF87" s="99" t="s">
        <v>21</v>
      </c>
      <c r="AG87" s="99">
        <f>AD87*0.09</f>
        <v>218.025</v>
      </c>
      <c r="AH87" s="99"/>
      <c r="AI87" s="31">
        <f t="shared" si="24"/>
        <v>582</v>
      </c>
      <c r="AJ87" s="31">
        <f t="shared" si="25"/>
        <v>0</v>
      </c>
    </row>
    <row r="88" spans="1:36">
      <c r="A88" s="89">
        <v>84</v>
      </c>
      <c r="B88" s="89">
        <v>54</v>
      </c>
      <c r="C88" s="21" t="s">
        <v>189</v>
      </c>
      <c r="D88" s="89" t="s">
        <v>104</v>
      </c>
      <c r="E88" s="89" t="s">
        <v>188</v>
      </c>
      <c r="F88" s="89">
        <v>12</v>
      </c>
      <c r="G88" s="89">
        <v>13</v>
      </c>
      <c r="H88" s="89">
        <f>VLOOKUP(B:B,'[4]SQL Results'!$B$1:$L$65536,11,0)</f>
        <v>10</v>
      </c>
      <c r="I88" s="89">
        <f t="shared" si="21"/>
        <v>-2</v>
      </c>
      <c r="J88" s="89" t="s">
        <v>274</v>
      </c>
      <c r="K88" s="89">
        <f>H88*1</f>
        <v>10</v>
      </c>
      <c r="L88" s="89">
        <f>I88*1</f>
        <v>-2</v>
      </c>
      <c r="M88" s="89">
        <v>138</v>
      </c>
      <c r="N88" s="33">
        <v>153</v>
      </c>
      <c r="O88" s="33">
        <v>131</v>
      </c>
      <c r="P88" s="33">
        <f t="shared" si="27"/>
        <v>-7</v>
      </c>
      <c r="Q88" s="33" t="s">
        <v>274</v>
      </c>
      <c r="R88" s="33">
        <f>O88*0.8</f>
        <v>104.8</v>
      </c>
      <c r="S88" s="33">
        <f>P88*0.6</f>
        <v>-4.2</v>
      </c>
      <c r="T88" s="33">
        <v>11</v>
      </c>
      <c r="U88" s="33">
        <v>12</v>
      </c>
      <c r="V88" s="33">
        <f>VLOOKUP(B:B,'[4]SQL Results'!$B$1:$Q$65536,16,0)</f>
        <v>12</v>
      </c>
      <c r="W88" s="33">
        <f>VLOOKUP(B:B,'[4]SQL Results'!$B$1:$P$65536,15,0)</f>
        <v>3370.93</v>
      </c>
      <c r="X88" s="33">
        <f t="shared" si="22"/>
        <v>1</v>
      </c>
      <c r="Y88" s="33" t="s">
        <v>21</v>
      </c>
      <c r="Z88" s="33">
        <f>W88*0.1</f>
        <v>337.093</v>
      </c>
      <c r="AA88" s="33"/>
      <c r="AB88" s="33">
        <v>10773</v>
      </c>
      <c r="AC88" s="33">
        <v>11970</v>
      </c>
      <c r="AD88" s="31">
        <v>10083.51</v>
      </c>
      <c r="AE88" s="99">
        <f t="shared" si="23"/>
        <v>-689.49</v>
      </c>
      <c r="AF88" s="99" t="s">
        <v>274</v>
      </c>
      <c r="AG88" s="99">
        <f>AD88*0.05</f>
        <v>504.1755</v>
      </c>
      <c r="AH88" s="99">
        <f>AE88*0.04</f>
        <v>-27.5796</v>
      </c>
      <c r="AI88" s="31">
        <f t="shared" si="24"/>
        <v>956</v>
      </c>
      <c r="AJ88" s="31">
        <f t="shared" si="25"/>
        <v>-34</v>
      </c>
    </row>
    <row r="89" spans="1:36">
      <c r="A89" s="89">
        <v>85</v>
      </c>
      <c r="B89" s="89">
        <v>52</v>
      </c>
      <c r="C89" s="21" t="s">
        <v>190</v>
      </c>
      <c r="D89" s="89" t="s">
        <v>104</v>
      </c>
      <c r="E89" s="89" t="s">
        <v>188</v>
      </c>
      <c r="F89" s="89">
        <v>12</v>
      </c>
      <c r="G89" s="89">
        <v>13</v>
      </c>
      <c r="H89" s="89">
        <f>VLOOKUP(B:B,'[4]SQL Results'!$B$1:$L$65536,11,0)</f>
        <v>9</v>
      </c>
      <c r="I89" s="89">
        <f t="shared" si="21"/>
        <v>-3</v>
      </c>
      <c r="J89" s="89" t="s">
        <v>274</v>
      </c>
      <c r="K89" s="89">
        <f>H89*1</f>
        <v>9</v>
      </c>
      <c r="L89" s="89">
        <f>I89*1</f>
        <v>-3</v>
      </c>
      <c r="M89" s="89">
        <v>65</v>
      </c>
      <c r="N89" s="33">
        <v>72</v>
      </c>
      <c r="O89" s="33">
        <v>73</v>
      </c>
      <c r="P89" s="33">
        <f t="shared" si="27"/>
        <v>8</v>
      </c>
      <c r="Q89" s="33" t="s">
        <v>21</v>
      </c>
      <c r="R89" s="33">
        <f>O89*2.5</f>
        <v>182.5</v>
      </c>
      <c r="S89" s="33"/>
      <c r="T89" s="33">
        <v>13</v>
      </c>
      <c r="U89" s="33">
        <v>14</v>
      </c>
      <c r="V89" s="33">
        <f>VLOOKUP(B:B,'[4]SQL Results'!$B$1:$Q$65536,16,0)</f>
        <v>19</v>
      </c>
      <c r="W89" s="33">
        <f>VLOOKUP(B:B,'[4]SQL Results'!$B$1:$P$65536,15,0)</f>
        <v>4027.82</v>
      </c>
      <c r="X89" s="33">
        <f t="shared" si="22"/>
        <v>6</v>
      </c>
      <c r="Y89" s="33" t="s">
        <v>21</v>
      </c>
      <c r="Z89" s="33">
        <f>W89*0.1</f>
        <v>402.782</v>
      </c>
      <c r="AA89" s="33"/>
      <c r="AB89" s="33">
        <v>2290</v>
      </c>
      <c r="AC89" s="33">
        <v>2544</v>
      </c>
      <c r="AD89" s="31">
        <v>1608.02</v>
      </c>
      <c r="AE89" s="99">
        <f t="shared" si="23"/>
        <v>-681.98</v>
      </c>
      <c r="AF89" s="99" t="s">
        <v>274</v>
      </c>
      <c r="AG89" s="99">
        <f>AD89*0.05</f>
        <v>80.401</v>
      </c>
      <c r="AH89" s="99">
        <f>AE89*0.04</f>
        <v>-27.2792</v>
      </c>
      <c r="AI89" s="31">
        <f t="shared" si="24"/>
        <v>675</v>
      </c>
      <c r="AJ89" s="31">
        <f t="shared" si="25"/>
        <v>-30</v>
      </c>
    </row>
    <row r="90" spans="1:36">
      <c r="A90" s="89">
        <v>86</v>
      </c>
      <c r="B90" s="89">
        <v>587</v>
      </c>
      <c r="C90" s="21" t="s">
        <v>191</v>
      </c>
      <c r="D90" s="89" t="s">
        <v>104</v>
      </c>
      <c r="E90" s="89" t="s">
        <v>188</v>
      </c>
      <c r="F90" s="89">
        <v>13</v>
      </c>
      <c r="G90" s="89">
        <v>14</v>
      </c>
      <c r="H90" s="89">
        <v>0</v>
      </c>
      <c r="I90" s="89">
        <f t="shared" si="21"/>
        <v>-13</v>
      </c>
      <c r="J90" s="89" t="s">
        <v>274</v>
      </c>
      <c r="K90" s="89"/>
      <c r="L90" s="89">
        <f>I90*1</f>
        <v>-13</v>
      </c>
      <c r="M90" s="89">
        <v>77</v>
      </c>
      <c r="N90" s="33">
        <v>86</v>
      </c>
      <c r="O90" s="33">
        <v>95</v>
      </c>
      <c r="P90" s="33">
        <f t="shared" si="27"/>
        <v>18</v>
      </c>
      <c r="Q90" s="33" t="s">
        <v>21</v>
      </c>
      <c r="R90" s="33">
        <f>O90*2.5</f>
        <v>237.5</v>
      </c>
      <c r="S90" s="33"/>
      <c r="T90" s="33">
        <v>11</v>
      </c>
      <c r="U90" s="33">
        <v>12</v>
      </c>
      <c r="V90" s="33">
        <f>VLOOKUP(B:B,'[4]SQL Results'!$B$1:$Q$65536,16,0)</f>
        <v>12</v>
      </c>
      <c r="W90" s="33">
        <f>VLOOKUP(B:B,'[4]SQL Results'!$B$1:$P$65536,15,0)</f>
        <v>3115.64</v>
      </c>
      <c r="X90" s="33">
        <f t="shared" si="22"/>
        <v>1</v>
      </c>
      <c r="Y90" s="33" t="s">
        <v>21</v>
      </c>
      <c r="Z90" s="33">
        <f>W90*0.1</f>
        <v>311.564</v>
      </c>
      <c r="AA90" s="33"/>
      <c r="AB90" s="33">
        <v>2451</v>
      </c>
      <c r="AC90" s="33">
        <v>2723</v>
      </c>
      <c r="AD90" s="31">
        <v>2956.42</v>
      </c>
      <c r="AE90" s="99">
        <f t="shared" si="23"/>
        <v>505.42</v>
      </c>
      <c r="AF90" s="99" t="s">
        <v>21</v>
      </c>
      <c r="AG90" s="99">
        <f>AD90*0.09</f>
        <v>266.0778</v>
      </c>
      <c r="AH90" s="99"/>
      <c r="AI90" s="31">
        <f t="shared" si="24"/>
        <v>815</v>
      </c>
      <c r="AJ90" s="31">
        <f t="shared" si="25"/>
        <v>-13</v>
      </c>
    </row>
    <row r="91" spans="1:36">
      <c r="A91" s="89">
        <v>87</v>
      </c>
      <c r="B91" s="89">
        <v>329</v>
      </c>
      <c r="C91" s="21" t="s">
        <v>192</v>
      </c>
      <c r="D91" s="89" t="s">
        <v>95</v>
      </c>
      <c r="E91" s="89" t="s">
        <v>188</v>
      </c>
      <c r="F91" s="89">
        <v>13</v>
      </c>
      <c r="G91" s="89">
        <v>14</v>
      </c>
      <c r="H91" s="89">
        <f>VLOOKUP(B:B,'[4]SQL Results'!$B$1:$L$65536,11,0)</f>
        <v>14</v>
      </c>
      <c r="I91" s="89">
        <f t="shared" si="21"/>
        <v>1</v>
      </c>
      <c r="J91" s="89" t="s">
        <v>21</v>
      </c>
      <c r="K91" s="89">
        <f>H91*3.5</f>
        <v>49</v>
      </c>
      <c r="L91" s="89"/>
      <c r="M91" s="89">
        <v>63</v>
      </c>
      <c r="N91" s="33">
        <v>70</v>
      </c>
      <c r="O91" s="33">
        <v>90</v>
      </c>
      <c r="P91" s="33">
        <f t="shared" si="27"/>
        <v>27</v>
      </c>
      <c r="Q91" s="33" t="s">
        <v>21</v>
      </c>
      <c r="R91" s="33">
        <f>O91*2.5</f>
        <v>225</v>
      </c>
      <c r="S91" s="33"/>
      <c r="T91" s="33">
        <v>23</v>
      </c>
      <c r="U91" s="33">
        <v>25</v>
      </c>
      <c r="V91" s="33">
        <f>VLOOKUP(B:B,'[4]SQL Results'!$B$1:$Q$65536,16,0)</f>
        <v>29</v>
      </c>
      <c r="W91" s="33">
        <f>VLOOKUP(B:B,'[4]SQL Results'!$B$1:$P$65536,15,0)</f>
        <v>7362.04</v>
      </c>
      <c r="X91" s="33">
        <f t="shared" si="22"/>
        <v>6</v>
      </c>
      <c r="Y91" s="33" t="s">
        <v>21</v>
      </c>
      <c r="Z91" s="33">
        <f>W91*0.1</f>
        <v>736.204</v>
      </c>
      <c r="AA91" s="33"/>
      <c r="AB91" s="33">
        <v>7910</v>
      </c>
      <c r="AC91" s="33">
        <v>8789</v>
      </c>
      <c r="AD91" s="31">
        <v>1379</v>
      </c>
      <c r="AE91" s="99">
        <f t="shared" si="23"/>
        <v>-6531</v>
      </c>
      <c r="AF91" s="99" t="s">
        <v>274</v>
      </c>
      <c r="AG91" s="99">
        <f>AD91*0.05</f>
        <v>68.95</v>
      </c>
      <c r="AH91" s="99">
        <f>AE91*0.04</f>
        <v>-261.24</v>
      </c>
      <c r="AI91" s="31">
        <f t="shared" si="24"/>
        <v>1079</v>
      </c>
      <c r="AJ91" s="31">
        <f t="shared" si="25"/>
        <v>-261</v>
      </c>
    </row>
    <row r="92" spans="1:36">
      <c r="A92" s="89">
        <v>88</v>
      </c>
      <c r="B92" s="89">
        <v>754</v>
      </c>
      <c r="C92" s="21" t="s">
        <v>193</v>
      </c>
      <c r="D92" s="89" t="s">
        <v>139</v>
      </c>
      <c r="E92" s="89" t="s">
        <v>188</v>
      </c>
      <c r="F92" s="89">
        <v>13</v>
      </c>
      <c r="G92" s="89">
        <v>14</v>
      </c>
      <c r="H92" s="89">
        <f>VLOOKUP(B:B,'[4]SQL Results'!$B$1:$L$65536,11,0)</f>
        <v>24</v>
      </c>
      <c r="I92" s="89">
        <f t="shared" si="21"/>
        <v>11</v>
      </c>
      <c r="J92" s="89" t="s">
        <v>21</v>
      </c>
      <c r="K92" s="89">
        <f>H92*3.5</f>
        <v>84</v>
      </c>
      <c r="L92" s="89"/>
      <c r="M92" s="89">
        <v>69</v>
      </c>
      <c r="N92" s="33">
        <v>77</v>
      </c>
      <c r="O92" s="33">
        <v>129</v>
      </c>
      <c r="P92" s="33">
        <f t="shared" si="27"/>
        <v>60</v>
      </c>
      <c r="Q92" s="33" t="s">
        <v>21</v>
      </c>
      <c r="R92" s="33">
        <f>O92*2.5</f>
        <v>322.5</v>
      </c>
      <c r="S92" s="33"/>
      <c r="T92" s="33">
        <v>5</v>
      </c>
      <c r="U92" s="33">
        <v>6</v>
      </c>
      <c r="V92" s="33">
        <f>VLOOKUP(B:B,'[4]SQL Results'!$B$1:$Q$65536,16,0)</f>
        <v>1</v>
      </c>
      <c r="W92" s="33">
        <f>VLOOKUP(B:B,'[4]SQL Results'!$B$1:$P$65536,15,0)</f>
        <v>198</v>
      </c>
      <c r="X92" s="33">
        <f t="shared" si="22"/>
        <v>-4</v>
      </c>
      <c r="Y92" s="33" t="s">
        <v>274</v>
      </c>
      <c r="Z92" s="33">
        <f>W92*0.05</f>
        <v>9.9</v>
      </c>
      <c r="AA92" s="33">
        <f>X92*8</f>
        <v>-32</v>
      </c>
      <c r="AB92" s="33">
        <v>1068</v>
      </c>
      <c r="AC92" s="33">
        <v>1187</v>
      </c>
      <c r="AD92" s="31">
        <v>2360.8</v>
      </c>
      <c r="AE92" s="99">
        <f t="shared" si="23"/>
        <v>1292.8</v>
      </c>
      <c r="AF92" s="99" t="s">
        <v>21</v>
      </c>
      <c r="AG92" s="99">
        <f>AD92*0.09</f>
        <v>212.472</v>
      </c>
      <c r="AH92" s="99"/>
      <c r="AI92" s="31">
        <f t="shared" si="24"/>
        <v>629</v>
      </c>
      <c r="AJ92" s="31">
        <f t="shared" si="25"/>
        <v>-32</v>
      </c>
    </row>
    <row r="93" spans="1:36">
      <c r="A93" s="89">
        <v>89</v>
      </c>
      <c r="B93" s="89">
        <v>704</v>
      </c>
      <c r="C93" s="21" t="s">
        <v>194</v>
      </c>
      <c r="D93" s="89" t="s">
        <v>107</v>
      </c>
      <c r="E93" s="89" t="s">
        <v>188</v>
      </c>
      <c r="F93" s="89">
        <v>14</v>
      </c>
      <c r="G93" s="89">
        <v>15</v>
      </c>
      <c r="H93" s="89">
        <f>VLOOKUP(B:B,'[4]SQL Results'!$B$1:$L$65536,11,0)</f>
        <v>9</v>
      </c>
      <c r="I93" s="89">
        <f t="shared" si="21"/>
        <v>-5</v>
      </c>
      <c r="J93" s="89" t="s">
        <v>274</v>
      </c>
      <c r="K93" s="89">
        <f>H93*1</f>
        <v>9</v>
      </c>
      <c r="L93" s="89">
        <f>I93*1</f>
        <v>-5</v>
      </c>
      <c r="M93" s="89">
        <v>58</v>
      </c>
      <c r="N93" s="33">
        <v>64</v>
      </c>
      <c r="O93" s="33">
        <v>61</v>
      </c>
      <c r="P93" s="33">
        <f t="shared" si="27"/>
        <v>3</v>
      </c>
      <c r="Q93" s="33" t="s">
        <v>20</v>
      </c>
      <c r="R93" s="33">
        <f>O93*1.5</f>
        <v>91.5</v>
      </c>
      <c r="S93" s="33"/>
      <c r="T93" s="33">
        <v>9</v>
      </c>
      <c r="U93" s="33">
        <v>10</v>
      </c>
      <c r="V93" s="33">
        <f>VLOOKUP(B:B,'[4]SQL Results'!$B$1:$Q$65536,16,0)</f>
        <v>6</v>
      </c>
      <c r="W93" s="33">
        <f>VLOOKUP(B:B,'[4]SQL Results'!$B$1:$P$65536,15,0)</f>
        <v>1542</v>
      </c>
      <c r="X93" s="33">
        <f t="shared" si="22"/>
        <v>-3</v>
      </c>
      <c r="Y93" s="33" t="s">
        <v>274</v>
      </c>
      <c r="Z93" s="33">
        <f>W93*0.05</f>
        <v>77.1</v>
      </c>
      <c r="AA93" s="33">
        <f>X93*8</f>
        <v>-24</v>
      </c>
      <c r="AB93" s="33">
        <v>2054</v>
      </c>
      <c r="AC93" s="33">
        <v>2282</v>
      </c>
      <c r="AD93" s="31">
        <v>800.63</v>
      </c>
      <c r="AE93" s="99">
        <f t="shared" si="23"/>
        <v>-1253.37</v>
      </c>
      <c r="AF93" s="99" t="s">
        <v>274</v>
      </c>
      <c r="AG93" s="99">
        <f>AD93*0.05</f>
        <v>40.0315</v>
      </c>
      <c r="AH93" s="99">
        <f>AE93*0.04</f>
        <v>-50.1348</v>
      </c>
      <c r="AI93" s="31">
        <f t="shared" si="24"/>
        <v>218</v>
      </c>
      <c r="AJ93" s="31">
        <f t="shared" si="25"/>
        <v>-79</v>
      </c>
    </row>
    <row r="94" spans="1:36">
      <c r="A94" s="89">
        <v>90</v>
      </c>
      <c r="B94" s="89">
        <v>56</v>
      </c>
      <c r="C94" s="21" t="s">
        <v>195</v>
      </c>
      <c r="D94" s="89" t="s">
        <v>139</v>
      </c>
      <c r="E94" s="89" t="s">
        <v>188</v>
      </c>
      <c r="F94" s="89">
        <v>10</v>
      </c>
      <c r="G94" s="89">
        <v>11</v>
      </c>
      <c r="H94" s="89">
        <f>VLOOKUP(B:B,'[4]SQL Results'!$B$1:$L$65536,11,0)</f>
        <v>1</v>
      </c>
      <c r="I94" s="89">
        <f t="shared" si="21"/>
        <v>-9</v>
      </c>
      <c r="J94" s="89" t="s">
        <v>274</v>
      </c>
      <c r="K94" s="89">
        <f>H94*1</f>
        <v>1</v>
      </c>
      <c r="L94" s="89">
        <f>I94*1</f>
        <v>-9</v>
      </c>
      <c r="M94" s="89">
        <v>73</v>
      </c>
      <c r="N94" s="33">
        <v>81</v>
      </c>
      <c r="O94" s="33">
        <v>103</v>
      </c>
      <c r="P94" s="33">
        <f t="shared" si="27"/>
        <v>30</v>
      </c>
      <c r="Q94" s="33" t="s">
        <v>21</v>
      </c>
      <c r="R94" s="33">
        <f>O94*2.5</f>
        <v>257.5</v>
      </c>
      <c r="S94" s="33"/>
      <c r="T94" s="33">
        <v>10</v>
      </c>
      <c r="U94" s="33">
        <v>11</v>
      </c>
      <c r="V94" s="33">
        <f>VLOOKUP(B:B,'[4]SQL Results'!$B$1:$Q$65536,16,0)</f>
        <v>27</v>
      </c>
      <c r="W94" s="33">
        <f>VLOOKUP(B:B,'[4]SQL Results'!$B$1:$P$65536,15,0)</f>
        <v>4534.04</v>
      </c>
      <c r="X94" s="33">
        <f t="shared" si="22"/>
        <v>17</v>
      </c>
      <c r="Y94" s="33" t="s">
        <v>21</v>
      </c>
      <c r="Z94" s="33">
        <f t="shared" ref="Z94:Z101" si="28">W94*0.1</f>
        <v>453.404</v>
      </c>
      <c r="AA94" s="33"/>
      <c r="AB94" s="33">
        <v>7900</v>
      </c>
      <c r="AC94" s="33">
        <v>8778</v>
      </c>
      <c r="AD94" s="31">
        <v>5455.63</v>
      </c>
      <c r="AE94" s="99">
        <f t="shared" si="23"/>
        <v>-2444.37</v>
      </c>
      <c r="AF94" s="99" t="s">
        <v>274</v>
      </c>
      <c r="AG94" s="99">
        <f>AD94*0.05</f>
        <v>272.7815</v>
      </c>
      <c r="AH94" s="99">
        <f>AE94*0.04</f>
        <v>-97.7748</v>
      </c>
      <c r="AI94" s="31">
        <f t="shared" si="24"/>
        <v>985</v>
      </c>
      <c r="AJ94" s="31">
        <f t="shared" si="25"/>
        <v>-107</v>
      </c>
    </row>
    <row r="95" spans="1:36">
      <c r="A95" s="89">
        <v>91</v>
      </c>
      <c r="B95" s="89">
        <v>351</v>
      </c>
      <c r="C95" s="21" t="s">
        <v>196</v>
      </c>
      <c r="D95" s="89" t="s">
        <v>104</v>
      </c>
      <c r="E95" s="89" t="s">
        <v>188</v>
      </c>
      <c r="F95" s="89">
        <v>12</v>
      </c>
      <c r="G95" s="89">
        <v>13</v>
      </c>
      <c r="H95" s="89">
        <f>VLOOKUP(B:B,'[4]SQL Results'!$B$1:$L$65536,11,0)</f>
        <v>18</v>
      </c>
      <c r="I95" s="89">
        <f t="shared" si="21"/>
        <v>6</v>
      </c>
      <c r="J95" s="89" t="s">
        <v>21</v>
      </c>
      <c r="K95" s="89">
        <f>H95*3.5</f>
        <v>63</v>
      </c>
      <c r="L95" s="89"/>
      <c r="M95" s="89">
        <v>47</v>
      </c>
      <c r="N95" s="33">
        <v>52</v>
      </c>
      <c r="O95" s="33">
        <v>74</v>
      </c>
      <c r="P95" s="33">
        <f t="shared" si="27"/>
        <v>27</v>
      </c>
      <c r="Q95" s="33" t="s">
        <v>21</v>
      </c>
      <c r="R95" s="33">
        <f>O95*2.5</f>
        <v>185</v>
      </c>
      <c r="S95" s="33"/>
      <c r="T95" s="33">
        <v>5</v>
      </c>
      <c r="U95" s="33">
        <v>6</v>
      </c>
      <c r="V95" s="33">
        <f>VLOOKUP(B:B,'[4]SQL Results'!$B$1:$Q$65536,16,0)</f>
        <v>24</v>
      </c>
      <c r="W95" s="33">
        <f>VLOOKUP(B:B,'[4]SQL Results'!$B$1:$P$65536,15,0)</f>
        <v>6300.42</v>
      </c>
      <c r="X95" s="33">
        <f t="shared" si="22"/>
        <v>19</v>
      </c>
      <c r="Y95" s="33" t="s">
        <v>21</v>
      </c>
      <c r="Z95" s="33">
        <f t="shared" si="28"/>
        <v>630.042</v>
      </c>
      <c r="AA95" s="33"/>
      <c r="AB95" s="33">
        <v>7017</v>
      </c>
      <c r="AC95" s="33">
        <v>7797</v>
      </c>
      <c r="AD95" s="31">
        <v>5451.99</v>
      </c>
      <c r="AE95" s="99">
        <f t="shared" si="23"/>
        <v>-1565.01</v>
      </c>
      <c r="AF95" s="99" t="s">
        <v>274</v>
      </c>
      <c r="AG95" s="99">
        <f>AD95*0.05</f>
        <v>272.5995</v>
      </c>
      <c r="AH95" s="99">
        <f>AE95*0.04</f>
        <v>-62.6004</v>
      </c>
      <c r="AI95" s="31">
        <f t="shared" si="24"/>
        <v>1151</v>
      </c>
      <c r="AJ95" s="31">
        <f t="shared" si="25"/>
        <v>-63</v>
      </c>
    </row>
    <row r="96" spans="1:36">
      <c r="A96" s="89">
        <v>92</v>
      </c>
      <c r="B96" s="89">
        <v>706</v>
      </c>
      <c r="C96" s="21" t="s">
        <v>197</v>
      </c>
      <c r="D96" s="89" t="s">
        <v>113</v>
      </c>
      <c r="E96" s="89" t="s">
        <v>188</v>
      </c>
      <c r="F96" s="89">
        <v>4</v>
      </c>
      <c r="G96" s="89">
        <v>4</v>
      </c>
      <c r="H96" s="89">
        <v>0</v>
      </c>
      <c r="I96" s="89">
        <f t="shared" si="21"/>
        <v>-4</v>
      </c>
      <c r="J96" s="89" t="s">
        <v>274</v>
      </c>
      <c r="K96" s="89"/>
      <c r="L96" s="89">
        <f>I96*1</f>
        <v>-4</v>
      </c>
      <c r="M96" s="89">
        <v>32</v>
      </c>
      <c r="N96" s="33">
        <v>36</v>
      </c>
      <c r="O96" s="33">
        <v>69</v>
      </c>
      <c r="P96" s="33">
        <f t="shared" si="27"/>
        <v>37</v>
      </c>
      <c r="Q96" s="33" t="s">
        <v>21</v>
      </c>
      <c r="R96" s="33">
        <f>O96*2.5</f>
        <v>172.5</v>
      </c>
      <c r="S96" s="33"/>
      <c r="T96" s="33">
        <v>10</v>
      </c>
      <c r="U96" s="33">
        <v>11</v>
      </c>
      <c r="V96" s="33">
        <f>VLOOKUP(B:B,'[4]SQL Results'!$B$1:$Q$65536,16,0)</f>
        <v>11</v>
      </c>
      <c r="W96" s="33">
        <f>VLOOKUP(B:B,'[4]SQL Results'!$B$1:$P$65536,15,0)</f>
        <v>1952.03</v>
      </c>
      <c r="X96" s="33">
        <f t="shared" si="22"/>
        <v>1</v>
      </c>
      <c r="Y96" s="33" t="s">
        <v>21</v>
      </c>
      <c r="Z96" s="33">
        <f t="shared" si="28"/>
        <v>195.203</v>
      </c>
      <c r="AA96" s="33"/>
      <c r="AB96" s="33">
        <v>2210</v>
      </c>
      <c r="AC96" s="33">
        <v>2455</v>
      </c>
      <c r="AD96" s="31">
        <v>487</v>
      </c>
      <c r="AE96" s="99">
        <f t="shared" si="23"/>
        <v>-1723</v>
      </c>
      <c r="AF96" s="99" t="s">
        <v>274</v>
      </c>
      <c r="AG96" s="99">
        <f>AD96*0.05</f>
        <v>24.35</v>
      </c>
      <c r="AH96" s="99">
        <f>AE96*0.04</f>
        <v>-68.92</v>
      </c>
      <c r="AI96" s="31">
        <f t="shared" si="24"/>
        <v>392</v>
      </c>
      <c r="AJ96" s="31">
        <f t="shared" si="25"/>
        <v>-73</v>
      </c>
    </row>
    <row r="97" spans="1:36">
      <c r="A97" s="89">
        <v>93</v>
      </c>
      <c r="B97" s="89">
        <v>710</v>
      </c>
      <c r="C97" s="21" t="s">
        <v>198</v>
      </c>
      <c r="D97" s="89" t="s">
        <v>113</v>
      </c>
      <c r="E97" s="89" t="s">
        <v>188</v>
      </c>
      <c r="F97" s="89">
        <v>7</v>
      </c>
      <c r="G97" s="89">
        <v>8</v>
      </c>
      <c r="H97" s="89">
        <v>0</v>
      </c>
      <c r="I97" s="89">
        <f t="shared" si="21"/>
        <v>-7</v>
      </c>
      <c r="J97" s="89" t="s">
        <v>274</v>
      </c>
      <c r="K97" s="89"/>
      <c r="L97" s="89">
        <f>I97*1</f>
        <v>-7</v>
      </c>
      <c r="M97" s="89">
        <v>61</v>
      </c>
      <c r="N97" s="33">
        <v>68</v>
      </c>
      <c r="O97" s="33">
        <v>67</v>
      </c>
      <c r="P97" s="33">
        <f t="shared" si="27"/>
        <v>6</v>
      </c>
      <c r="Q97" s="33" t="s">
        <v>20</v>
      </c>
      <c r="R97" s="33">
        <f>O97*1.5</f>
        <v>100.5</v>
      </c>
      <c r="S97" s="33"/>
      <c r="T97" s="33">
        <v>6</v>
      </c>
      <c r="U97" s="33">
        <v>7</v>
      </c>
      <c r="V97" s="33">
        <f>VLOOKUP(B:B,'[4]SQL Results'!$B$1:$Q$65536,16,0)</f>
        <v>11</v>
      </c>
      <c r="W97" s="33">
        <f>VLOOKUP(B:B,'[4]SQL Results'!$B$1:$P$65536,15,0)</f>
        <v>2305.77</v>
      </c>
      <c r="X97" s="33">
        <f t="shared" si="22"/>
        <v>5</v>
      </c>
      <c r="Y97" s="33" t="s">
        <v>21</v>
      </c>
      <c r="Z97" s="33">
        <f t="shared" si="28"/>
        <v>230.577</v>
      </c>
      <c r="AA97" s="33"/>
      <c r="AB97" s="33">
        <v>1555</v>
      </c>
      <c r="AC97" s="33">
        <v>1728</v>
      </c>
      <c r="AD97" s="31">
        <v>1666.75</v>
      </c>
      <c r="AE97" s="99">
        <f t="shared" si="23"/>
        <v>111.75</v>
      </c>
      <c r="AF97" s="99" t="s">
        <v>20</v>
      </c>
      <c r="AG97" s="99">
        <f>AD97*0.07</f>
        <v>116.6725</v>
      </c>
      <c r="AH97" s="99"/>
      <c r="AI97" s="31">
        <f t="shared" si="24"/>
        <v>448</v>
      </c>
      <c r="AJ97" s="31">
        <f t="shared" si="25"/>
        <v>-7</v>
      </c>
    </row>
    <row r="98" spans="1:36">
      <c r="A98" s="89">
        <v>94</v>
      </c>
      <c r="B98" s="89">
        <v>738</v>
      </c>
      <c r="C98" s="21" t="s">
        <v>199</v>
      </c>
      <c r="D98" s="89" t="s">
        <v>139</v>
      </c>
      <c r="E98" s="89" t="s">
        <v>188</v>
      </c>
      <c r="F98" s="89">
        <v>8</v>
      </c>
      <c r="G98" s="89">
        <v>9</v>
      </c>
      <c r="H98" s="89">
        <f>VLOOKUP(B:B,'[4]SQL Results'!$B$1:$L$65536,11,0)</f>
        <v>9</v>
      </c>
      <c r="I98" s="89">
        <f t="shared" si="21"/>
        <v>1</v>
      </c>
      <c r="J98" s="89" t="s">
        <v>21</v>
      </c>
      <c r="K98" s="89">
        <f>H98*3.5</f>
        <v>31.5</v>
      </c>
      <c r="L98" s="89"/>
      <c r="M98" s="89">
        <v>57</v>
      </c>
      <c r="N98" s="33">
        <v>63</v>
      </c>
      <c r="O98" s="33">
        <v>65</v>
      </c>
      <c r="P98" s="33">
        <f t="shared" si="27"/>
        <v>8</v>
      </c>
      <c r="Q98" s="33" t="s">
        <v>21</v>
      </c>
      <c r="R98" s="33">
        <f t="shared" ref="R98:R103" si="29">O98*2.5</f>
        <v>162.5</v>
      </c>
      <c r="S98" s="33"/>
      <c r="T98" s="33">
        <v>7</v>
      </c>
      <c r="U98" s="33">
        <v>8</v>
      </c>
      <c r="V98" s="33">
        <f>VLOOKUP(B:B,'[4]SQL Results'!$B$1:$Q$65536,16,0)</f>
        <v>8</v>
      </c>
      <c r="W98" s="33">
        <f>VLOOKUP(B:B,'[4]SQL Results'!$B$1:$P$65536,15,0)</f>
        <v>1435.85</v>
      </c>
      <c r="X98" s="33">
        <f t="shared" si="22"/>
        <v>1</v>
      </c>
      <c r="Y98" s="33" t="s">
        <v>21</v>
      </c>
      <c r="Z98" s="33">
        <f t="shared" si="28"/>
        <v>143.585</v>
      </c>
      <c r="AA98" s="33"/>
      <c r="AB98" s="33">
        <v>1943</v>
      </c>
      <c r="AC98" s="33">
        <v>2159</v>
      </c>
      <c r="AD98" s="31">
        <v>2330.02</v>
      </c>
      <c r="AE98" s="99">
        <f t="shared" si="23"/>
        <v>387.02</v>
      </c>
      <c r="AF98" s="99" t="s">
        <v>21</v>
      </c>
      <c r="AG98" s="99">
        <f>AD98*0.09</f>
        <v>209.7018</v>
      </c>
      <c r="AH98" s="99"/>
      <c r="AI98" s="31">
        <f t="shared" si="24"/>
        <v>547</v>
      </c>
      <c r="AJ98" s="31">
        <f t="shared" si="25"/>
        <v>0</v>
      </c>
    </row>
    <row r="99" customFormat="1" spans="1:36">
      <c r="A99" s="89">
        <v>95</v>
      </c>
      <c r="B99" s="89">
        <v>713</v>
      </c>
      <c r="C99" s="21" t="s">
        <v>201</v>
      </c>
      <c r="D99" s="89" t="s">
        <v>113</v>
      </c>
      <c r="E99" s="89" t="s">
        <v>188</v>
      </c>
      <c r="F99" s="89">
        <v>5</v>
      </c>
      <c r="G99" s="89">
        <v>6</v>
      </c>
      <c r="H99" s="89">
        <f>VLOOKUP(B:B,'[4]SQL Results'!$B$1:$L$65536,11,0)</f>
        <v>4</v>
      </c>
      <c r="I99" s="89">
        <f t="shared" si="21"/>
        <v>-1</v>
      </c>
      <c r="J99" s="89" t="s">
        <v>274</v>
      </c>
      <c r="K99" s="89">
        <f>H99*1</f>
        <v>4</v>
      </c>
      <c r="L99" s="89">
        <f>I99*1</f>
        <v>-1</v>
      </c>
      <c r="M99" s="89">
        <v>38</v>
      </c>
      <c r="N99" s="33">
        <v>42</v>
      </c>
      <c r="O99" s="33">
        <v>68</v>
      </c>
      <c r="P99" s="33">
        <f t="shared" si="27"/>
        <v>30</v>
      </c>
      <c r="Q99" s="33" t="s">
        <v>21</v>
      </c>
      <c r="R99" s="33">
        <f t="shared" si="29"/>
        <v>170</v>
      </c>
      <c r="S99" s="33"/>
      <c r="T99" s="33">
        <v>3</v>
      </c>
      <c r="U99" s="33">
        <v>3</v>
      </c>
      <c r="V99" s="33">
        <f>VLOOKUP(B:B,'[4]SQL Results'!$B$1:$Q$65536,16,0)</f>
        <v>8</v>
      </c>
      <c r="W99" s="33">
        <f>VLOOKUP(B:B,'[4]SQL Results'!$B$1:$P$65536,15,0)</f>
        <v>1158.91</v>
      </c>
      <c r="X99" s="33">
        <f t="shared" si="22"/>
        <v>5</v>
      </c>
      <c r="Y99" s="33" t="s">
        <v>21</v>
      </c>
      <c r="Z99" s="33">
        <f t="shared" si="28"/>
        <v>115.891</v>
      </c>
      <c r="AA99" s="33"/>
      <c r="AB99" s="33">
        <v>2603</v>
      </c>
      <c r="AC99" s="33">
        <v>2892</v>
      </c>
      <c r="AD99" s="31">
        <v>1345.07</v>
      </c>
      <c r="AE99" s="99">
        <f t="shared" si="23"/>
        <v>-1257.93</v>
      </c>
      <c r="AF99" s="99" t="s">
        <v>274</v>
      </c>
      <c r="AG99" s="99">
        <f>AD99*0.05</f>
        <v>67.2535</v>
      </c>
      <c r="AH99" s="99">
        <f>AE99*0.04</f>
        <v>-50.3172</v>
      </c>
      <c r="AI99" s="31">
        <f t="shared" si="24"/>
        <v>357</v>
      </c>
      <c r="AJ99" s="31">
        <f t="shared" si="25"/>
        <v>-51</v>
      </c>
    </row>
    <row r="100" customFormat="1" spans="1:36">
      <c r="A100" s="89">
        <v>96</v>
      </c>
      <c r="B100" s="91">
        <v>104428</v>
      </c>
      <c r="C100" s="24" t="s">
        <v>277</v>
      </c>
      <c r="D100" s="92"/>
      <c r="E100" s="89" t="s">
        <v>188</v>
      </c>
      <c r="F100" s="89">
        <v>8</v>
      </c>
      <c r="G100" s="89">
        <v>9</v>
      </c>
      <c r="H100" s="89">
        <f>VLOOKUP(B:B,'[4]SQL Results'!$B$1:$L$65536,11,0)</f>
        <v>6</v>
      </c>
      <c r="I100" s="89">
        <f>H100-F100</f>
        <v>-2</v>
      </c>
      <c r="J100" s="89" t="s">
        <v>274</v>
      </c>
      <c r="K100" s="89">
        <f>H100*1</f>
        <v>6</v>
      </c>
      <c r="L100" s="89">
        <f>I100*1</f>
        <v>-2</v>
      </c>
      <c r="M100" s="89">
        <v>32</v>
      </c>
      <c r="N100" s="33">
        <v>36</v>
      </c>
      <c r="O100" s="33">
        <v>93</v>
      </c>
      <c r="P100" s="33">
        <f t="shared" si="27"/>
        <v>61</v>
      </c>
      <c r="Q100" s="33" t="s">
        <v>21</v>
      </c>
      <c r="R100" s="33">
        <f t="shared" si="29"/>
        <v>232.5</v>
      </c>
      <c r="S100" s="33"/>
      <c r="T100" s="33">
        <v>5</v>
      </c>
      <c r="U100" s="33">
        <v>5</v>
      </c>
      <c r="V100" s="33">
        <f>VLOOKUP(B:B,'[4]SQL Results'!$B$1:$Q$65536,16,0)</f>
        <v>20</v>
      </c>
      <c r="W100" s="33">
        <f>VLOOKUP(B:B,'[4]SQL Results'!$B$1:$P$65536,15,0)</f>
        <v>2574</v>
      </c>
      <c r="X100" s="33">
        <f>V100-T100</f>
        <v>15</v>
      </c>
      <c r="Y100" s="33" t="s">
        <v>21</v>
      </c>
      <c r="Z100" s="33">
        <f t="shared" si="28"/>
        <v>257.4</v>
      </c>
      <c r="AA100" s="33"/>
      <c r="AB100" s="33">
        <v>729</v>
      </c>
      <c r="AC100" s="33">
        <v>810</v>
      </c>
      <c r="AD100" s="31">
        <v>1537.3</v>
      </c>
      <c r="AE100" s="99">
        <f>AD100-AB100</f>
        <v>808.3</v>
      </c>
      <c r="AF100" s="99" t="s">
        <v>21</v>
      </c>
      <c r="AG100" s="99">
        <f>AD100*0.09</f>
        <v>138.357</v>
      </c>
      <c r="AH100" s="99"/>
      <c r="AI100" s="31">
        <f>ROUND(K100+R100+Z100+AG100,0)</f>
        <v>634</v>
      </c>
      <c r="AJ100" s="31">
        <f>ROUND(L100+S100+AA100+AH100,0)</f>
        <v>-2</v>
      </c>
    </row>
    <row r="101" customFormat="1" spans="1:36">
      <c r="A101" s="89">
        <v>97</v>
      </c>
      <c r="B101" s="91">
        <v>101453</v>
      </c>
      <c r="C101" s="21" t="s">
        <v>203</v>
      </c>
      <c r="D101" s="89" t="s">
        <v>109</v>
      </c>
      <c r="E101" s="89" t="s">
        <v>188</v>
      </c>
      <c r="F101" s="89">
        <v>14</v>
      </c>
      <c r="G101" s="89">
        <v>16</v>
      </c>
      <c r="H101" s="89">
        <f>VLOOKUP(B:B,'[4]SQL Results'!$B$1:$L$65536,11,0)</f>
        <v>6</v>
      </c>
      <c r="I101" s="89">
        <f>H101-F101</f>
        <v>-8</v>
      </c>
      <c r="J101" s="89" t="s">
        <v>274</v>
      </c>
      <c r="K101" s="89">
        <f>H101*1</f>
        <v>6</v>
      </c>
      <c r="L101" s="89">
        <f>I101*1</f>
        <v>-8</v>
      </c>
      <c r="M101" s="89">
        <v>60</v>
      </c>
      <c r="N101" s="33">
        <v>67</v>
      </c>
      <c r="O101" s="33">
        <v>117</v>
      </c>
      <c r="P101" s="33">
        <f t="shared" si="27"/>
        <v>57</v>
      </c>
      <c r="Q101" s="33" t="s">
        <v>21</v>
      </c>
      <c r="R101" s="33">
        <f t="shared" si="29"/>
        <v>292.5</v>
      </c>
      <c r="S101" s="33"/>
      <c r="T101" s="33">
        <v>8</v>
      </c>
      <c r="U101" s="33">
        <v>9</v>
      </c>
      <c r="V101" s="33">
        <f>VLOOKUP(B:B,'[4]SQL Results'!$B$1:$Q$65536,16,0)</f>
        <v>17</v>
      </c>
      <c r="W101" s="33">
        <f>VLOOKUP(B:B,'[4]SQL Results'!$B$1:$P$65536,15,0)</f>
        <v>3893.16</v>
      </c>
      <c r="X101" s="33">
        <f>V101-T101</f>
        <v>9</v>
      </c>
      <c r="Y101" s="33" t="s">
        <v>21</v>
      </c>
      <c r="Z101" s="33">
        <f t="shared" si="28"/>
        <v>389.316</v>
      </c>
      <c r="AA101" s="33"/>
      <c r="AB101" s="33">
        <v>920</v>
      </c>
      <c r="AC101" s="33">
        <v>1022</v>
      </c>
      <c r="AD101" s="31">
        <v>1376</v>
      </c>
      <c r="AE101" s="99">
        <f>AD101-AB101</f>
        <v>456</v>
      </c>
      <c r="AF101" s="99" t="s">
        <v>21</v>
      </c>
      <c r="AG101" s="99">
        <f>AD101*0.09</f>
        <v>123.84</v>
      </c>
      <c r="AH101" s="99"/>
      <c r="AI101" s="31">
        <f>ROUND(K101+R101+Z101+AG101,0)</f>
        <v>812</v>
      </c>
      <c r="AJ101" s="31">
        <f>ROUND(L101+S101+AA101+AH101,0)</f>
        <v>-8</v>
      </c>
    </row>
    <row r="102" customFormat="1" spans="1:36">
      <c r="A102" s="89">
        <v>98</v>
      </c>
      <c r="B102" s="91">
        <v>102564</v>
      </c>
      <c r="C102" s="21" t="s">
        <v>205</v>
      </c>
      <c r="D102" s="89" t="s">
        <v>113</v>
      </c>
      <c r="E102" s="89" t="s">
        <v>188</v>
      </c>
      <c r="F102" s="89">
        <v>4</v>
      </c>
      <c r="G102" s="89">
        <v>4</v>
      </c>
      <c r="H102" s="89">
        <f>VLOOKUP(B:B,'[4]SQL Results'!$B$1:$L$65536,11,0)</f>
        <v>5</v>
      </c>
      <c r="I102" s="89">
        <f>H102-F102</f>
        <v>1</v>
      </c>
      <c r="J102" s="89" t="s">
        <v>21</v>
      </c>
      <c r="K102" s="89">
        <f>H102*3.5</f>
        <v>17.5</v>
      </c>
      <c r="L102" s="89"/>
      <c r="M102" s="89">
        <v>32</v>
      </c>
      <c r="N102" s="33">
        <v>36</v>
      </c>
      <c r="O102" s="33">
        <v>74</v>
      </c>
      <c r="P102" s="33">
        <f t="shared" si="27"/>
        <v>42</v>
      </c>
      <c r="Q102" s="33" t="s">
        <v>21</v>
      </c>
      <c r="R102" s="33">
        <f t="shared" si="29"/>
        <v>185</v>
      </c>
      <c r="S102" s="33"/>
      <c r="T102" s="33">
        <v>6</v>
      </c>
      <c r="U102" s="33">
        <v>7</v>
      </c>
      <c r="V102" s="33">
        <f>VLOOKUP(B:B,'[4]SQL Results'!$B$1:$Q$65536,16,0)</f>
        <v>4</v>
      </c>
      <c r="W102" s="33">
        <f>VLOOKUP(B:B,'[4]SQL Results'!$B$1:$P$65536,15,0)</f>
        <v>725.8</v>
      </c>
      <c r="X102" s="33">
        <f>V102-T102</f>
        <v>-2</v>
      </c>
      <c r="Y102" s="33" t="s">
        <v>274</v>
      </c>
      <c r="Z102" s="33">
        <f>W102*0.05</f>
        <v>36.29</v>
      </c>
      <c r="AA102" s="33">
        <f>X102*8</f>
        <v>-16</v>
      </c>
      <c r="AB102" s="33">
        <v>596</v>
      </c>
      <c r="AC102" s="33">
        <v>662</v>
      </c>
      <c r="AD102" s="31">
        <v>539.5</v>
      </c>
      <c r="AE102" s="99">
        <f>AD102-AB102</f>
        <v>-56.5</v>
      </c>
      <c r="AF102" s="99" t="s">
        <v>274</v>
      </c>
      <c r="AG102" s="99">
        <f>AD102*0.05</f>
        <v>26.975</v>
      </c>
      <c r="AH102" s="99">
        <f>AE102*0.04</f>
        <v>-2.26</v>
      </c>
      <c r="AI102" s="31">
        <f>ROUND(K102+R102+Z102+AG102,0)</f>
        <v>266</v>
      </c>
      <c r="AJ102" s="31">
        <f>ROUND(L102+S102+AA102+AH102,0)</f>
        <v>-18</v>
      </c>
    </row>
    <row r="103" customFormat="1" spans="1:36">
      <c r="A103" s="89">
        <v>99</v>
      </c>
      <c r="B103" s="91">
        <v>104838</v>
      </c>
      <c r="C103" s="24" t="s">
        <v>206</v>
      </c>
      <c r="D103" s="92"/>
      <c r="E103" s="89" t="s">
        <v>188</v>
      </c>
      <c r="F103" s="89">
        <v>4</v>
      </c>
      <c r="G103" s="89">
        <v>4</v>
      </c>
      <c r="H103" s="89">
        <f>VLOOKUP(B:B,'[4]SQL Results'!$B$1:$L$65536,11,0)</f>
        <v>4</v>
      </c>
      <c r="I103" s="89">
        <f>H103-F103</f>
        <v>0</v>
      </c>
      <c r="J103" s="89" t="s">
        <v>21</v>
      </c>
      <c r="K103" s="89">
        <f>H103*3.5</f>
        <v>14</v>
      </c>
      <c r="L103" s="89"/>
      <c r="M103" s="89">
        <v>32</v>
      </c>
      <c r="N103" s="33">
        <v>36</v>
      </c>
      <c r="O103" s="33">
        <v>45</v>
      </c>
      <c r="P103" s="33">
        <f t="shared" si="27"/>
        <v>13</v>
      </c>
      <c r="Q103" s="33" t="s">
        <v>21</v>
      </c>
      <c r="R103" s="33">
        <f t="shared" si="29"/>
        <v>112.5</v>
      </c>
      <c r="S103" s="33"/>
      <c r="T103" s="33">
        <v>5</v>
      </c>
      <c r="U103" s="33">
        <v>5</v>
      </c>
      <c r="V103" s="33">
        <f>VLOOKUP(B:B,'[4]SQL Results'!$B$1:$Q$65536,16,0)</f>
        <v>12</v>
      </c>
      <c r="W103" s="33">
        <f>VLOOKUP(B:B,'[4]SQL Results'!$B$1:$P$65536,15,0)</f>
        <v>3104.42</v>
      </c>
      <c r="X103" s="33">
        <f>V103-T103</f>
        <v>7</v>
      </c>
      <c r="Y103" s="33" t="s">
        <v>21</v>
      </c>
      <c r="Z103" s="33">
        <f>W103*0.1</f>
        <v>310.442</v>
      </c>
      <c r="AA103" s="33"/>
      <c r="AB103" s="33">
        <v>648</v>
      </c>
      <c r="AC103" s="33">
        <v>720</v>
      </c>
      <c r="AD103" s="31">
        <v>952.03</v>
      </c>
      <c r="AE103" s="99">
        <f>AD103-AB103</f>
        <v>304.03</v>
      </c>
      <c r="AF103" s="99" t="s">
        <v>21</v>
      </c>
      <c r="AG103" s="99">
        <f>AD103*0.09</f>
        <v>85.6827</v>
      </c>
      <c r="AH103" s="99"/>
      <c r="AI103" s="31">
        <f>ROUND(K103+R103+Z103+AG103,0)</f>
        <v>523</v>
      </c>
      <c r="AJ103" s="31">
        <f>ROUND(L103+S103+AA103+AH103,0)</f>
        <v>0</v>
      </c>
    </row>
    <row r="104" s="27" customFormat="1" spans="1:36">
      <c r="A104" s="103"/>
      <c r="B104" s="32" t="s">
        <v>208</v>
      </c>
      <c r="C104" s="104"/>
      <c r="D104" s="32"/>
      <c r="E104" s="103"/>
      <c r="F104" s="89">
        <f>SUM(F3:F103)</f>
        <v>1288</v>
      </c>
      <c r="G104" s="89">
        <f t="shared" ref="G104:AJ104" si="30">SUM(G3:G103)</f>
        <v>1417</v>
      </c>
      <c r="H104" s="89">
        <f t="shared" si="30"/>
        <v>973</v>
      </c>
      <c r="I104" s="89">
        <f t="shared" si="30"/>
        <v>-326</v>
      </c>
      <c r="J104" s="89">
        <f t="shared" si="30"/>
        <v>0</v>
      </c>
      <c r="K104" s="89">
        <f t="shared" si="30"/>
        <v>2332.5</v>
      </c>
      <c r="L104" s="89">
        <f t="shared" si="30"/>
        <v>-502</v>
      </c>
      <c r="M104" s="89">
        <f t="shared" si="30"/>
        <v>9507</v>
      </c>
      <c r="N104" s="89">
        <f t="shared" si="30"/>
        <v>10562</v>
      </c>
      <c r="O104" s="89">
        <f t="shared" si="30"/>
        <v>11437</v>
      </c>
      <c r="P104" s="89">
        <f t="shared" si="30"/>
        <v>1832</v>
      </c>
      <c r="Q104" s="89">
        <f t="shared" si="30"/>
        <v>0</v>
      </c>
      <c r="R104" s="89">
        <f t="shared" si="30"/>
        <v>23055.3</v>
      </c>
      <c r="S104" s="89">
        <f t="shared" si="30"/>
        <v>-583.2</v>
      </c>
      <c r="T104" s="89">
        <f t="shared" si="30"/>
        <v>1032</v>
      </c>
      <c r="U104" s="89">
        <f t="shared" si="30"/>
        <v>1137</v>
      </c>
      <c r="V104" s="89">
        <f t="shared" si="30"/>
        <v>1466</v>
      </c>
      <c r="W104" s="89">
        <f>SUM(W3:W103)</f>
        <v>343794.69</v>
      </c>
      <c r="X104" s="33">
        <f>V104-U104</f>
        <v>329</v>
      </c>
      <c r="Y104" s="89">
        <f>SUM(Y3:Y103)</f>
        <v>0</v>
      </c>
      <c r="Z104" s="89">
        <f>SUM(Z3:Z103)</f>
        <v>31643.6111</v>
      </c>
      <c r="AA104" s="89">
        <f>SUM(AA3:AA103)</f>
        <v>-1080</v>
      </c>
      <c r="AB104" s="89">
        <f>SUM(AB3:AB103)</f>
        <v>348200</v>
      </c>
      <c r="AC104" s="89">
        <f>SUM(AC3:AC103)</f>
        <v>386856</v>
      </c>
      <c r="AD104" s="89">
        <f>SUM(AD3:AD103)</f>
        <v>282599.91</v>
      </c>
      <c r="AE104" s="89">
        <f>SUM(AE3:AE103)</f>
        <v>-65940.39</v>
      </c>
      <c r="AF104" s="89">
        <f>SUM(AF3:AF103)</f>
        <v>0</v>
      </c>
      <c r="AG104" s="89">
        <f>SUM(AG3:AG103)</f>
        <v>18779.3729</v>
      </c>
      <c r="AH104" s="89">
        <f>SUM(AH3:AH103)</f>
        <v>-4425.55</v>
      </c>
      <c r="AI104" s="89">
        <f>SUM(AI3:AI103)</f>
        <v>75814</v>
      </c>
      <c r="AJ104" s="89">
        <f>SUM(AJ3:AJ103)</f>
        <v>-6592</v>
      </c>
    </row>
    <row r="107" spans="29:34">
      <c r="AC107" s="3"/>
      <c r="AD107" s="3"/>
      <c r="AE107" s="3"/>
      <c r="AF107" s="3"/>
      <c r="AG107" s="3"/>
      <c r="AH107" s="3"/>
    </row>
  </sheetData>
  <autoFilter ref="A2:AJ104">
    <extLst/>
  </autoFilter>
  <mergeCells count="5">
    <mergeCell ref="A1:C1"/>
    <mergeCell ref="F1:L1"/>
    <mergeCell ref="M1:S1"/>
    <mergeCell ref="T1:AA1"/>
    <mergeCell ref="AB1:AH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pane xSplit="3" ySplit="1" topLeftCell="D2" activePane="bottomRight" state="frozen"/>
      <selection/>
      <selection pane="topRight"/>
      <selection pane="bottomLeft"/>
      <selection pane="bottomRight" activeCell="D3" sqref="D$1:F$1048576"/>
    </sheetView>
  </sheetViews>
  <sheetFormatPr defaultColWidth="9" defaultRowHeight="27" customHeight="1"/>
  <cols>
    <col min="1" max="1" width="4.25" style="2" customWidth="1"/>
    <col min="2" max="2" width="10.375" style="2" customWidth="1"/>
    <col min="3" max="3" width="6.375" style="2" customWidth="1"/>
    <col min="4" max="6" width="6.375" style="2" hidden="1" customWidth="1"/>
    <col min="7" max="7" width="14.3916666666667" style="41" customWidth="1"/>
    <col min="8" max="8" width="16" style="41" customWidth="1"/>
    <col min="9" max="9" width="12" style="2" customWidth="1"/>
    <col min="10" max="10" width="8.5" style="2" hidden="1" customWidth="1"/>
    <col min="11" max="12" width="8.75" style="2" customWidth="1"/>
    <col min="13" max="14" width="10.25" style="42" customWidth="1"/>
    <col min="15" max="15" width="18.375" style="42" customWidth="1"/>
    <col min="16" max="16" width="14.25" style="43" customWidth="1"/>
    <col min="17" max="17" width="9.25" style="2" customWidth="1"/>
    <col min="18" max="18" width="13.375" style="2" hidden="1" customWidth="1"/>
  </cols>
  <sheetData>
    <row r="1" customHeight="1" spans="1:17">
      <c r="A1" s="44" t="s">
        <v>278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customHeight="1" spans="1:18">
      <c r="A2" s="45" t="s">
        <v>279</v>
      </c>
      <c r="B2" s="45"/>
      <c r="C2" s="45"/>
      <c r="D2" s="45"/>
      <c r="E2" s="45"/>
      <c r="F2" s="45"/>
      <c r="G2" s="45"/>
      <c r="H2" s="45"/>
      <c r="I2" s="45"/>
      <c r="J2" s="45"/>
      <c r="K2" s="49" t="s">
        <v>280</v>
      </c>
      <c r="L2" s="49"/>
      <c r="M2" s="13" t="s">
        <v>1</v>
      </c>
      <c r="N2" s="13"/>
      <c r="O2" s="13" t="s">
        <v>281</v>
      </c>
      <c r="P2" s="13"/>
      <c r="Q2" s="9"/>
      <c r="R2" s="73" t="s">
        <v>282</v>
      </c>
    </row>
    <row r="3" customHeight="1" spans="1:18">
      <c r="A3" s="7" t="s">
        <v>4</v>
      </c>
      <c r="B3" s="7" t="s">
        <v>5</v>
      </c>
      <c r="C3" s="7" t="s">
        <v>6</v>
      </c>
      <c r="D3" s="7"/>
      <c r="E3" s="7"/>
      <c r="F3" s="7"/>
      <c r="G3" s="7" t="s">
        <v>7</v>
      </c>
      <c r="H3" s="7" t="s">
        <v>8</v>
      </c>
      <c r="I3" s="7" t="s">
        <v>9</v>
      </c>
      <c r="J3" s="7"/>
      <c r="K3" s="7" t="s">
        <v>20</v>
      </c>
      <c r="L3" s="7" t="s">
        <v>21</v>
      </c>
      <c r="M3" s="7" t="s">
        <v>15</v>
      </c>
      <c r="N3" s="7" t="s">
        <v>283</v>
      </c>
      <c r="O3" s="7" t="s">
        <v>22</v>
      </c>
      <c r="P3" s="50" t="s">
        <v>284</v>
      </c>
      <c r="Q3" s="74" t="s">
        <v>23</v>
      </c>
      <c r="R3" s="75"/>
    </row>
    <row r="4" customHeight="1" spans="1:18">
      <c r="A4" s="9">
        <v>1</v>
      </c>
      <c r="B4" s="10" t="s">
        <v>24</v>
      </c>
      <c r="C4" s="10">
        <v>133360</v>
      </c>
      <c r="D4" s="10" t="s">
        <v>285</v>
      </c>
      <c r="E4" s="10" t="str">
        <f>C4&amp;D4</f>
        <v>133360,</v>
      </c>
      <c r="F4" s="10"/>
      <c r="G4" s="9" t="s">
        <v>25</v>
      </c>
      <c r="H4" s="10" t="s">
        <v>26</v>
      </c>
      <c r="I4" s="10" t="s">
        <v>27</v>
      </c>
      <c r="J4" s="10"/>
      <c r="K4" s="51">
        <v>1288</v>
      </c>
      <c r="L4" s="51">
        <v>1417</v>
      </c>
      <c r="M4" s="52" t="s">
        <v>286</v>
      </c>
      <c r="N4" s="52" t="s">
        <v>287</v>
      </c>
      <c r="O4" s="16" t="s">
        <v>288</v>
      </c>
      <c r="P4" s="53" t="s">
        <v>40</v>
      </c>
      <c r="Q4" s="10" t="s">
        <v>289</v>
      </c>
      <c r="R4" s="76" t="s">
        <v>290</v>
      </c>
    </row>
    <row r="5" customHeight="1" spans="1:18">
      <c r="A5" s="9">
        <v>2</v>
      </c>
      <c r="B5" s="10"/>
      <c r="C5" s="10">
        <v>31440</v>
      </c>
      <c r="D5" s="10" t="s">
        <v>285</v>
      </c>
      <c r="E5" s="10" t="str">
        <f t="shared" ref="E5:E15" si="0">C5&amp;D5</f>
        <v>31440,</v>
      </c>
      <c r="F5" s="10"/>
      <c r="G5" s="9" t="s">
        <v>32</v>
      </c>
      <c r="H5" s="10" t="s">
        <v>33</v>
      </c>
      <c r="I5" s="10" t="s">
        <v>34</v>
      </c>
      <c r="J5" s="10"/>
      <c r="K5" s="54"/>
      <c r="L5" s="54"/>
      <c r="M5" s="52"/>
      <c r="N5" s="52"/>
      <c r="O5" s="16"/>
      <c r="P5" s="53" t="s">
        <v>40</v>
      </c>
      <c r="Q5" s="10" t="s">
        <v>289</v>
      </c>
      <c r="R5" s="76" t="s">
        <v>290</v>
      </c>
    </row>
    <row r="6" customHeight="1" spans="1:18">
      <c r="A6" s="9">
        <v>3</v>
      </c>
      <c r="B6" s="46" t="s">
        <v>36</v>
      </c>
      <c r="C6" s="13">
        <v>136714</v>
      </c>
      <c r="D6" s="10" t="s">
        <v>285</v>
      </c>
      <c r="E6" s="10" t="str">
        <f t="shared" si="0"/>
        <v>136714,</v>
      </c>
      <c r="F6" s="13"/>
      <c r="G6" s="13" t="s">
        <v>41</v>
      </c>
      <c r="H6" s="13" t="s">
        <v>42</v>
      </c>
      <c r="I6" s="13" t="s">
        <v>43</v>
      </c>
      <c r="J6" s="13"/>
      <c r="K6" s="51">
        <v>9507</v>
      </c>
      <c r="L6" s="51">
        <v>10562</v>
      </c>
      <c r="M6" s="55" t="s">
        <v>291</v>
      </c>
      <c r="N6" s="55" t="s">
        <v>286</v>
      </c>
      <c r="O6" s="56" t="s">
        <v>292</v>
      </c>
      <c r="P6" s="53" t="s">
        <v>293</v>
      </c>
      <c r="Q6" s="10" t="s">
        <v>289</v>
      </c>
      <c r="R6" s="10" t="s">
        <v>294</v>
      </c>
    </row>
    <row r="7" customHeight="1" spans="1:18">
      <c r="A7" s="9">
        <v>4</v>
      </c>
      <c r="B7" s="47"/>
      <c r="C7" s="10">
        <v>113826</v>
      </c>
      <c r="D7" s="10" t="s">
        <v>285</v>
      </c>
      <c r="E7" s="10" t="str">
        <f t="shared" si="0"/>
        <v>113826,</v>
      </c>
      <c r="F7" s="10"/>
      <c r="G7" s="9" t="s">
        <v>47</v>
      </c>
      <c r="H7" s="10" t="s">
        <v>48</v>
      </c>
      <c r="I7" s="10" t="s">
        <v>49</v>
      </c>
      <c r="J7" s="10"/>
      <c r="K7" s="57"/>
      <c r="L7" s="57"/>
      <c r="M7" s="55"/>
      <c r="N7" s="55"/>
      <c r="O7" s="56"/>
      <c r="P7" s="53" t="s">
        <v>293</v>
      </c>
      <c r="Q7" s="10" t="s">
        <v>289</v>
      </c>
      <c r="R7" s="10" t="s">
        <v>294</v>
      </c>
    </row>
    <row r="8" customHeight="1" spans="1:18">
      <c r="A8" s="9">
        <v>5</v>
      </c>
      <c r="B8" s="48"/>
      <c r="C8" s="10">
        <v>139379</v>
      </c>
      <c r="D8" s="10" t="s">
        <v>285</v>
      </c>
      <c r="E8" s="10" t="str">
        <f t="shared" si="0"/>
        <v>139379,</v>
      </c>
      <c r="F8" s="10"/>
      <c r="G8" s="9" t="s">
        <v>45</v>
      </c>
      <c r="H8" s="10" t="s">
        <v>46</v>
      </c>
      <c r="I8" s="10" t="s">
        <v>34</v>
      </c>
      <c r="J8" s="10"/>
      <c r="K8" s="54"/>
      <c r="L8" s="54"/>
      <c r="M8" s="55"/>
      <c r="N8" s="55"/>
      <c r="O8" s="56"/>
      <c r="P8" s="53" t="s">
        <v>293</v>
      </c>
      <c r="Q8" s="10" t="s">
        <v>289</v>
      </c>
      <c r="R8" s="10" t="s">
        <v>294</v>
      </c>
    </row>
    <row r="9" customHeight="1" spans="1:18">
      <c r="A9" s="9"/>
      <c r="B9" s="48"/>
      <c r="C9" s="14">
        <v>162305</v>
      </c>
      <c r="D9" s="10" t="s">
        <v>285</v>
      </c>
      <c r="E9" s="10" t="str">
        <f t="shared" si="0"/>
        <v>162305,</v>
      </c>
      <c r="F9" s="14"/>
      <c r="G9" s="14" t="s">
        <v>51</v>
      </c>
      <c r="H9" s="14" t="s">
        <v>52</v>
      </c>
      <c r="I9" s="10" t="s">
        <v>53</v>
      </c>
      <c r="J9" s="10"/>
      <c r="K9" s="51">
        <v>1034</v>
      </c>
      <c r="L9" s="51">
        <v>1139</v>
      </c>
      <c r="M9" s="58">
        <v>0.08</v>
      </c>
      <c r="N9" s="59">
        <v>0.1</v>
      </c>
      <c r="O9" s="56" t="s">
        <v>295</v>
      </c>
      <c r="P9" s="60">
        <v>0.05</v>
      </c>
      <c r="Q9" s="10" t="s">
        <v>289</v>
      </c>
      <c r="R9" s="10"/>
    </row>
    <row r="10" customHeight="1" spans="1:18">
      <c r="A10" s="9">
        <v>6</v>
      </c>
      <c r="B10" s="10"/>
      <c r="C10" s="14">
        <v>116987</v>
      </c>
      <c r="D10" s="10" t="s">
        <v>285</v>
      </c>
      <c r="E10" s="10" t="str">
        <f t="shared" si="0"/>
        <v>116987,</v>
      </c>
      <c r="F10" s="14"/>
      <c r="G10" s="15" t="s">
        <v>55</v>
      </c>
      <c r="H10" s="14" t="s">
        <v>56</v>
      </c>
      <c r="I10" s="10" t="s">
        <v>57</v>
      </c>
      <c r="J10" s="10">
        <v>198</v>
      </c>
      <c r="K10" s="54"/>
      <c r="L10" s="54"/>
      <c r="M10" s="61"/>
      <c r="N10" s="62"/>
      <c r="O10" s="56"/>
      <c r="P10" s="60">
        <v>0.05</v>
      </c>
      <c r="Q10" s="10" t="s">
        <v>289</v>
      </c>
      <c r="R10" s="10" t="s">
        <v>290</v>
      </c>
    </row>
    <row r="11" customHeight="1" spans="1:18">
      <c r="A11" s="9">
        <v>7</v>
      </c>
      <c r="B11" s="16" t="s">
        <v>59</v>
      </c>
      <c r="C11" s="14">
        <v>164949</v>
      </c>
      <c r="D11" s="10" t="s">
        <v>285</v>
      </c>
      <c r="E11" s="10" t="str">
        <f t="shared" si="0"/>
        <v>164949,</v>
      </c>
      <c r="F11" s="14"/>
      <c r="G11" s="14" t="s">
        <v>60</v>
      </c>
      <c r="H11" s="15" t="s">
        <v>61</v>
      </c>
      <c r="I11" s="16" t="s">
        <v>49</v>
      </c>
      <c r="J11" s="16"/>
      <c r="K11" s="63">
        <v>348200</v>
      </c>
      <c r="L11" s="63">
        <v>386856</v>
      </c>
      <c r="M11" s="64">
        <v>0.07</v>
      </c>
      <c r="N11" s="64">
        <v>0.09</v>
      </c>
      <c r="O11" s="65" t="s">
        <v>296</v>
      </c>
      <c r="P11" s="66">
        <v>0.05</v>
      </c>
      <c r="Q11" s="10" t="s">
        <v>289</v>
      </c>
      <c r="R11" s="13" t="s">
        <v>290</v>
      </c>
    </row>
    <row r="12" customHeight="1" spans="1:18">
      <c r="A12" s="9">
        <v>8</v>
      </c>
      <c r="B12" s="16"/>
      <c r="C12" s="14">
        <v>75138</v>
      </c>
      <c r="D12" s="10" t="s">
        <v>285</v>
      </c>
      <c r="E12" s="10" t="str">
        <f t="shared" si="0"/>
        <v>75138,</v>
      </c>
      <c r="F12" s="14"/>
      <c r="G12" s="14" t="s">
        <v>60</v>
      </c>
      <c r="H12" s="14" t="s">
        <v>64</v>
      </c>
      <c r="I12" s="16" t="s">
        <v>49</v>
      </c>
      <c r="J12" s="16"/>
      <c r="K12" s="67"/>
      <c r="L12" s="67"/>
      <c r="M12" s="68"/>
      <c r="N12" s="68"/>
      <c r="O12" s="69"/>
      <c r="P12" s="66">
        <v>0.05</v>
      </c>
      <c r="Q12" s="10" t="s">
        <v>289</v>
      </c>
      <c r="R12" s="13"/>
    </row>
    <row r="13" customHeight="1" spans="1:18">
      <c r="A13" s="9">
        <v>9</v>
      </c>
      <c r="B13" s="16"/>
      <c r="C13" s="14">
        <v>84174</v>
      </c>
      <c r="D13" s="10" t="s">
        <v>285</v>
      </c>
      <c r="E13" s="10" t="str">
        <f t="shared" si="0"/>
        <v>84174,</v>
      </c>
      <c r="F13" s="14"/>
      <c r="G13" s="14" t="s">
        <v>67</v>
      </c>
      <c r="H13" s="14" t="s">
        <v>68</v>
      </c>
      <c r="I13" s="16" t="s">
        <v>34</v>
      </c>
      <c r="J13" s="16"/>
      <c r="K13" s="67"/>
      <c r="L13" s="67"/>
      <c r="M13" s="68"/>
      <c r="N13" s="68"/>
      <c r="O13" s="69"/>
      <c r="P13" s="66">
        <v>0.05</v>
      </c>
      <c r="Q13" s="10" t="s">
        <v>289</v>
      </c>
      <c r="R13" s="9" t="s">
        <v>294</v>
      </c>
    </row>
    <row r="14" customHeight="1" spans="1:18">
      <c r="A14" s="9">
        <v>10</v>
      </c>
      <c r="B14" s="16"/>
      <c r="C14" s="14">
        <v>166880</v>
      </c>
      <c r="D14" s="10" t="s">
        <v>285</v>
      </c>
      <c r="E14" s="10" t="str">
        <f t="shared" si="0"/>
        <v>166880,</v>
      </c>
      <c r="F14" s="14"/>
      <c r="G14" s="14" t="s">
        <v>69</v>
      </c>
      <c r="H14" s="14" t="s">
        <v>70</v>
      </c>
      <c r="I14" s="10" t="s">
        <v>71</v>
      </c>
      <c r="J14" s="10"/>
      <c r="K14" s="67"/>
      <c r="L14" s="67"/>
      <c r="M14" s="68"/>
      <c r="N14" s="68"/>
      <c r="O14" s="69"/>
      <c r="P14" s="66">
        <v>0.05</v>
      </c>
      <c r="Q14" s="10" t="s">
        <v>289</v>
      </c>
      <c r="R14" s="10" t="s">
        <v>290</v>
      </c>
    </row>
    <row r="15" customHeight="1" spans="1:18">
      <c r="A15" s="9">
        <v>11</v>
      </c>
      <c r="B15" s="16"/>
      <c r="C15" s="14">
        <v>21580</v>
      </c>
      <c r="D15" s="10" t="s">
        <v>285</v>
      </c>
      <c r="E15" s="10" t="str">
        <f t="shared" si="0"/>
        <v>21580,</v>
      </c>
      <c r="F15" s="14"/>
      <c r="G15" s="14" t="s">
        <v>73</v>
      </c>
      <c r="H15" s="14" t="s">
        <v>74</v>
      </c>
      <c r="I15" s="10" t="s">
        <v>27</v>
      </c>
      <c r="J15" s="10"/>
      <c r="K15" s="70"/>
      <c r="L15" s="70"/>
      <c r="M15" s="71"/>
      <c r="N15" s="71"/>
      <c r="O15" s="72"/>
      <c r="P15" s="66">
        <v>0.05</v>
      </c>
      <c r="Q15" s="10" t="s">
        <v>289</v>
      </c>
      <c r="R15" s="10" t="s">
        <v>294</v>
      </c>
    </row>
    <row r="16" customHeight="1" spans="1:17">
      <c r="A16" s="41" t="s">
        <v>263</v>
      </c>
      <c r="K16" s="2" t="s">
        <v>264</v>
      </c>
      <c r="Q16" s="77" t="s">
        <v>265</v>
      </c>
    </row>
  </sheetData>
  <mergeCells count="29">
    <mergeCell ref="A1:Q1"/>
    <mergeCell ref="A2:I2"/>
    <mergeCell ref="K2:L2"/>
    <mergeCell ref="M2:N2"/>
    <mergeCell ref="B4:B5"/>
    <mergeCell ref="B6:B8"/>
    <mergeCell ref="B11:B15"/>
    <mergeCell ref="K4:K5"/>
    <mergeCell ref="K6:K8"/>
    <mergeCell ref="K9:K10"/>
    <mergeCell ref="K11:K15"/>
    <mergeCell ref="L4:L5"/>
    <mergeCell ref="L6:L8"/>
    <mergeCell ref="L9:L10"/>
    <mergeCell ref="L11:L15"/>
    <mergeCell ref="M4:M5"/>
    <mergeCell ref="M6:M8"/>
    <mergeCell ref="M9:M10"/>
    <mergeCell ref="M11:M15"/>
    <mergeCell ref="N4:N5"/>
    <mergeCell ref="N6:N8"/>
    <mergeCell ref="N9:N10"/>
    <mergeCell ref="N11:N15"/>
    <mergeCell ref="O4:O5"/>
    <mergeCell ref="O6:O8"/>
    <mergeCell ref="O9:O10"/>
    <mergeCell ref="O11:O15"/>
    <mergeCell ref="R2:R3"/>
    <mergeCell ref="R11:R12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"/>
  <sheetViews>
    <sheetView workbookViewId="0">
      <pane xSplit="1" ySplit="1" topLeftCell="P2" activePane="bottomRight" state="frozen"/>
      <selection/>
      <selection pane="topRight"/>
      <selection pane="bottomLeft"/>
      <selection pane="bottomRight" activeCell="AC17" sqref="AC17"/>
    </sheetView>
  </sheetViews>
  <sheetFormatPr defaultColWidth="9" defaultRowHeight="13.5" outlineLevelRow="3"/>
  <cols>
    <col min="19" max="20" width="10.375"/>
    <col min="22" max="22" width="11.5"/>
    <col min="25" max="25" width="9.375"/>
    <col min="26" max="27" width="10.375"/>
    <col min="29" max="29" width="11.5"/>
    <col min="30" max="30" width="10.375"/>
    <col min="31" max="31" width="11.5"/>
  </cols>
  <sheetData>
    <row r="1" s="26" customFormat="1" ht="23" customHeight="1" spans="1:32">
      <c r="A1" s="28" t="s">
        <v>78</v>
      </c>
      <c r="B1" s="29" t="s">
        <v>20</v>
      </c>
      <c r="C1" s="30" t="s">
        <v>21</v>
      </c>
      <c r="D1" s="30" t="s">
        <v>267</v>
      </c>
      <c r="E1" s="30" t="s">
        <v>268</v>
      </c>
      <c r="F1" s="30" t="s">
        <v>269</v>
      </c>
      <c r="G1" s="30" t="s">
        <v>270</v>
      </c>
      <c r="H1" s="30" t="s">
        <v>22</v>
      </c>
      <c r="I1" s="34" t="s">
        <v>20</v>
      </c>
      <c r="J1" s="34" t="s">
        <v>21</v>
      </c>
      <c r="K1" s="34" t="s">
        <v>267</v>
      </c>
      <c r="L1" s="34" t="s">
        <v>268</v>
      </c>
      <c r="M1" s="34" t="s">
        <v>269</v>
      </c>
      <c r="N1" s="34" t="s">
        <v>270</v>
      </c>
      <c r="O1" s="34" t="s">
        <v>22</v>
      </c>
      <c r="P1" s="35" t="s">
        <v>20</v>
      </c>
      <c r="Q1" s="35" t="s">
        <v>21</v>
      </c>
      <c r="R1" s="35" t="s">
        <v>267</v>
      </c>
      <c r="S1" s="35" t="s">
        <v>271</v>
      </c>
      <c r="T1" s="35" t="s">
        <v>268</v>
      </c>
      <c r="U1" s="35" t="s">
        <v>269</v>
      </c>
      <c r="V1" s="35" t="s">
        <v>270</v>
      </c>
      <c r="W1" s="35" t="s">
        <v>22</v>
      </c>
      <c r="X1" s="37" t="s">
        <v>20</v>
      </c>
      <c r="Y1" s="37" t="s">
        <v>21</v>
      </c>
      <c r="Z1" s="38" t="s">
        <v>267</v>
      </c>
      <c r="AA1" s="39" t="s">
        <v>268</v>
      </c>
      <c r="AB1" s="39" t="s">
        <v>269</v>
      </c>
      <c r="AC1" s="39" t="s">
        <v>270</v>
      </c>
      <c r="AD1" s="39" t="s">
        <v>22</v>
      </c>
      <c r="AE1" s="40" t="s">
        <v>272</v>
      </c>
      <c r="AF1" s="40" t="s">
        <v>273</v>
      </c>
    </row>
    <row r="2" spans="1:32">
      <c r="A2" s="31" t="s">
        <v>297</v>
      </c>
      <c r="B2" s="31">
        <v>1288</v>
      </c>
      <c r="C2" s="31">
        <v>1417</v>
      </c>
      <c r="D2" s="31">
        <v>973</v>
      </c>
      <c r="E2" s="31">
        <v>-326</v>
      </c>
      <c r="F2" s="31">
        <v>0</v>
      </c>
      <c r="G2" s="31">
        <v>2332.5</v>
      </c>
      <c r="H2" s="31">
        <v>-502</v>
      </c>
      <c r="I2" s="31">
        <v>9507</v>
      </c>
      <c r="J2" s="31">
        <v>10562</v>
      </c>
      <c r="K2" s="31">
        <v>11437</v>
      </c>
      <c r="L2" s="31">
        <v>1832</v>
      </c>
      <c r="M2" s="31">
        <v>0</v>
      </c>
      <c r="N2" s="31">
        <v>23055.3</v>
      </c>
      <c r="O2" s="31">
        <v>-583.2</v>
      </c>
      <c r="P2" s="31">
        <v>1032</v>
      </c>
      <c r="Q2" s="31">
        <v>1137</v>
      </c>
      <c r="R2" s="31">
        <v>1466</v>
      </c>
      <c r="S2" s="31">
        <v>343794.69</v>
      </c>
      <c r="T2" s="31">
        <v>329</v>
      </c>
      <c r="U2" s="31">
        <v>0</v>
      </c>
      <c r="V2" s="31">
        <v>31643.6111</v>
      </c>
      <c r="W2" s="31">
        <v>-1080</v>
      </c>
      <c r="X2" s="31">
        <v>348200</v>
      </c>
      <c r="Y2" s="31">
        <v>386856</v>
      </c>
      <c r="Z2" s="31">
        <v>282599.91</v>
      </c>
      <c r="AA2" s="31">
        <v>-65940.39</v>
      </c>
      <c r="AB2" s="31">
        <v>0</v>
      </c>
      <c r="AC2" s="31">
        <v>18779.3729</v>
      </c>
      <c r="AD2" s="31">
        <v>-4425.55</v>
      </c>
      <c r="AE2" s="31">
        <f>G2+N2+V2+AC2</f>
        <v>75810.784</v>
      </c>
      <c r="AF2" s="31">
        <v>-6592</v>
      </c>
    </row>
    <row r="3" s="27" customFormat="1" spans="1:32">
      <c r="A3" s="32" t="s">
        <v>298</v>
      </c>
      <c r="B3" s="33">
        <v>1548</v>
      </c>
      <c r="C3" s="33">
        <v>1930</v>
      </c>
      <c r="D3" s="33">
        <v>1152</v>
      </c>
      <c r="E3" s="33">
        <v>-396</v>
      </c>
      <c r="F3" s="33">
        <v>0</v>
      </c>
      <c r="G3" s="33">
        <v>2752</v>
      </c>
      <c r="H3" s="33">
        <v>-704.6</v>
      </c>
      <c r="I3" s="33">
        <v>11663</v>
      </c>
      <c r="J3" s="33">
        <v>13664</v>
      </c>
      <c r="K3" s="33">
        <v>14321</v>
      </c>
      <c r="L3" s="33">
        <v>2658</v>
      </c>
      <c r="M3" s="33">
        <v>0</v>
      </c>
      <c r="N3" s="33">
        <v>28201.4</v>
      </c>
      <c r="O3" s="33">
        <v>-489.6</v>
      </c>
      <c r="P3" s="36">
        <v>1240</v>
      </c>
      <c r="Q3" s="36">
        <v>2780</v>
      </c>
      <c r="R3" s="36">
        <v>1224</v>
      </c>
      <c r="S3" s="36">
        <v>280518.5</v>
      </c>
      <c r="T3" s="36">
        <v>-16</v>
      </c>
      <c r="U3" s="36">
        <v>0</v>
      </c>
      <c r="V3" s="36">
        <v>20102.1214</v>
      </c>
      <c r="W3" s="36">
        <v>-2446.4</v>
      </c>
      <c r="X3" s="36">
        <v>429015</v>
      </c>
      <c r="Y3" s="36">
        <v>482716.5</v>
      </c>
      <c r="Z3" s="36">
        <v>316833.14</v>
      </c>
      <c r="AA3" s="36">
        <v>-112181.86</v>
      </c>
      <c r="AB3" s="36">
        <v>0</v>
      </c>
      <c r="AC3" s="36">
        <v>21044.1084</v>
      </c>
      <c r="AD3" s="36">
        <v>-6089.4532</v>
      </c>
      <c r="AE3" s="31">
        <f>G3+N3+V3+AC3</f>
        <v>72099.6298</v>
      </c>
      <c r="AF3" s="36">
        <v>-9677</v>
      </c>
    </row>
    <row r="4" spans="1:32">
      <c r="A4" s="31"/>
      <c r="B4" s="31">
        <f>B2-B3</f>
        <v>-260</v>
      </c>
      <c r="C4" s="31">
        <f t="shared" ref="C4:AF4" si="0">C2-C3</f>
        <v>-513</v>
      </c>
      <c r="D4" s="31">
        <f t="shared" si="0"/>
        <v>-179</v>
      </c>
      <c r="E4" s="31">
        <f t="shared" si="0"/>
        <v>70</v>
      </c>
      <c r="F4" s="31">
        <f t="shared" si="0"/>
        <v>0</v>
      </c>
      <c r="G4" s="31">
        <f t="shared" si="0"/>
        <v>-419.5</v>
      </c>
      <c r="H4" s="31">
        <f t="shared" si="0"/>
        <v>202.6</v>
      </c>
      <c r="I4" s="31">
        <f t="shared" si="0"/>
        <v>-2156</v>
      </c>
      <c r="J4" s="31">
        <f t="shared" si="0"/>
        <v>-3102</v>
      </c>
      <c r="K4" s="31">
        <f t="shared" si="0"/>
        <v>-2884</v>
      </c>
      <c r="L4" s="31">
        <f t="shared" si="0"/>
        <v>-826</v>
      </c>
      <c r="M4" s="31">
        <f t="shared" si="0"/>
        <v>0</v>
      </c>
      <c r="N4" s="31">
        <f t="shared" si="0"/>
        <v>-5146.1</v>
      </c>
      <c r="O4" s="31">
        <f t="shared" si="0"/>
        <v>-93.5999999999999</v>
      </c>
      <c r="P4" s="31">
        <f t="shared" si="0"/>
        <v>-208</v>
      </c>
      <c r="Q4" s="31">
        <f t="shared" si="0"/>
        <v>-1643</v>
      </c>
      <c r="R4" s="31">
        <f t="shared" si="0"/>
        <v>242</v>
      </c>
      <c r="S4" s="31">
        <f t="shared" si="0"/>
        <v>63276.1900000001</v>
      </c>
      <c r="T4" s="31">
        <f t="shared" si="0"/>
        <v>345</v>
      </c>
      <c r="U4" s="31">
        <f t="shared" si="0"/>
        <v>0</v>
      </c>
      <c r="V4" s="31">
        <f t="shared" si="0"/>
        <v>11541.4897</v>
      </c>
      <c r="W4" s="31">
        <f t="shared" si="0"/>
        <v>1366.4</v>
      </c>
      <c r="X4" s="31">
        <f t="shared" si="0"/>
        <v>-80815</v>
      </c>
      <c r="Y4" s="31">
        <f t="shared" si="0"/>
        <v>-95860.5</v>
      </c>
      <c r="Z4" s="31">
        <f t="shared" si="0"/>
        <v>-34233.23</v>
      </c>
      <c r="AA4" s="31">
        <f t="shared" si="0"/>
        <v>46241.47</v>
      </c>
      <c r="AB4" s="31">
        <f t="shared" si="0"/>
        <v>0</v>
      </c>
      <c r="AC4" s="31">
        <f t="shared" si="0"/>
        <v>-2264.7355</v>
      </c>
      <c r="AD4" s="31">
        <f t="shared" si="0"/>
        <v>1663.9032</v>
      </c>
      <c r="AE4" s="31">
        <f t="shared" si="0"/>
        <v>3711.15420000002</v>
      </c>
      <c r="AF4" s="31">
        <f t="shared" si="0"/>
        <v>3085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D9" sqref="D9"/>
    </sheetView>
  </sheetViews>
  <sheetFormatPr defaultColWidth="9" defaultRowHeight="21" customHeight="1"/>
  <cols>
    <col min="1" max="1" width="4.125" style="2" customWidth="1"/>
    <col min="2" max="2" width="8.75" style="2" customWidth="1"/>
    <col min="3" max="3" width="10.75" style="2" customWidth="1"/>
    <col min="4" max="4" width="25.5" style="2" customWidth="1"/>
    <col min="5" max="5" width="17.875" style="2" customWidth="1"/>
    <col min="6" max="6" width="27.125" style="2" customWidth="1"/>
    <col min="7" max="7" width="17.375" style="3" customWidth="1"/>
    <col min="8" max="8" width="16" style="3" customWidth="1"/>
  </cols>
  <sheetData>
    <row r="1" customHeight="1" spans="1:8">
      <c r="A1" s="4" t="s">
        <v>299</v>
      </c>
      <c r="B1" s="5"/>
      <c r="C1" s="5"/>
      <c r="D1" s="5"/>
      <c r="E1" s="5"/>
      <c r="F1" s="5"/>
      <c r="G1" s="5"/>
      <c r="H1" s="6"/>
    </row>
    <row r="2" s="1" customFormat="1" ht="34" customHeight="1" spans="1:8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300</v>
      </c>
      <c r="H2" s="8" t="s">
        <v>301</v>
      </c>
    </row>
    <row r="3" customHeight="1" spans="1:8">
      <c r="A3" s="9">
        <v>1</v>
      </c>
      <c r="B3" s="10" t="s">
        <v>24</v>
      </c>
      <c r="C3" s="10">
        <v>133360</v>
      </c>
      <c r="D3" s="9" t="s">
        <v>25</v>
      </c>
      <c r="E3" s="10" t="s">
        <v>26</v>
      </c>
      <c r="F3" s="10" t="s">
        <v>27</v>
      </c>
      <c r="G3" s="11">
        <v>808</v>
      </c>
      <c r="H3" s="12">
        <v>2.6212</v>
      </c>
    </row>
    <row r="4" customHeight="1" spans="1:8">
      <c r="A4" s="9">
        <v>2</v>
      </c>
      <c r="B4" s="10"/>
      <c r="C4" s="10">
        <v>31440</v>
      </c>
      <c r="D4" s="9" t="s">
        <v>32</v>
      </c>
      <c r="E4" s="10" t="s">
        <v>33</v>
      </c>
      <c r="F4" s="10" t="s">
        <v>34</v>
      </c>
      <c r="G4" s="11">
        <v>348</v>
      </c>
      <c r="H4" s="12">
        <v>1.152</v>
      </c>
    </row>
    <row r="5" customHeight="1" spans="1:8">
      <c r="A5" s="9">
        <v>3</v>
      </c>
      <c r="B5" s="10" t="s">
        <v>36</v>
      </c>
      <c r="C5" s="13">
        <v>136714</v>
      </c>
      <c r="D5" s="13" t="s">
        <v>41</v>
      </c>
      <c r="E5" s="13" t="s">
        <v>42</v>
      </c>
      <c r="F5" s="13" t="s">
        <v>43</v>
      </c>
      <c r="G5" s="11">
        <v>5085</v>
      </c>
      <c r="H5" s="12">
        <v>14.3013</v>
      </c>
    </row>
    <row r="6" customHeight="1" spans="1:8">
      <c r="A6" s="9">
        <v>4</v>
      </c>
      <c r="B6" s="10"/>
      <c r="C6" s="10">
        <v>113826</v>
      </c>
      <c r="D6" s="9" t="s">
        <v>47</v>
      </c>
      <c r="E6" s="10" t="s">
        <v>48</v>
      </c>
      <c r="F6" s="10" t="s">
        <v>49</v>
      </c>
      <c r="G6" s="11">
        <v>1197</v>
      </c>
      <c r="H6" s="12">
        <v>2.427</v>
      </c>
    </row>
    <row r="7" customHeight="1" spans="1:8">
      <c r="A7" s="9">
        <v>5</v>
      </c>
      <c r="B7" s="10"/>
      <c r="C7" s="10">
        <v>139379</v>
      </c>
      <c r="D7" s="9" t="s">
        <v>45</v>
      </c>
      <c r="E7" s="10" t="s">
        <v>46</v>
      </c>
      <c r="F7" s="10" t="s">
        <v>34</v>
      </c>
      <c r="G7" s="11">
        <v>8193</v>
      </c>
      <c r="H7" s="12">
        <v>17.9664</v>
      </c>
    </row>
    <row r="8" customHeight="1" spans="1:8">
      <c r="A8" s="9">
        <v>6</v>
      </c>
      <c r="B8" s="10" t="s">
        <v>50</v>
      </c>
      <c r="C8" s="14">
        <v>162305</v>
      </c>
      <c r="D8" s="14" t="s">
        <v>51</v>
      </c>
      <c r="E8" s="14" t="s">
        <v>52</v>
      </c>
      <c r="F8" s="10" t="s">
        <v>53</v>
      </c>
      <c r="G8" s="11">
        <v>958</v>
      </c>
      <c r="H8" s="12">
        <v>24.8416</v>
      </c>
    </row>
    <row r="9" customHeight="1" spans="1:8">
      <c r="A9" s="9">
        <v>7</v>
      </c>
      <c r="B9" s="10"/>
      <c r="C9" s="14">
        <v>116987</v>
      </c>
      <c r="D9" s="15" t="s">
        <v>55</v>
      </c>
      <c r="E9" s="14" t="s">
        <v>56</v>
      </c>
      <c r="F9" s="10" t="s">
        <v>57</v>
      </c>
      <c r="G9" s="11">
        <v>274</v>
      </c>
      <c r="H9" s="12">
        <v>3.3933</v>
      </c>
    </row>
    <row r="10" customHeight="1" spans="1:8">
      <c r="A10" s="9">
        <v>8</v>
      </c>
      <c r="B10" s="16" t="s">
        <v>59</v>
      </c>
      <c r="C10" s="14">
        <v>164949</v>
      </c>
      <c r="D10" s="14" t="s">
        <v>60</v>
      </c>
      <c r="E10" s="15" t="s">
        <v>61</v>
      </c>
      <c r="F10" s="16" t="s">
        <v>49</v>
      </c>
      <c r="G10" s="11">
        <v>223</v>
      </c>
      <c r="H10" s="12">
        <v>2.7748</v>
      </c>
    </row>
    <row r="11" customHeight="1" spans="1:8">
      <c r="A11" s="9">
        <v>9</v>
      </c>
      <c r="B11" s="16"/>
      <c r="C11" s="14">
        <v>75138</v>
      </c>
      <c r="D11" s="14" t="s">
        <v>60</v>
      </c>
      <c r="E11" s="14" t="s">
        <v>64</v>
      </c>
      <c r="F11" s="16" t="s">
        <v>49</v>
      </c>
      <c r="G11" s="11">
        <v>66</v>
      </c>
      <c r="H11" s="12">
        <v>0.4937</v>
      </c>
    </row>
    <row r="12" customHeight="1" spans="1:8">
      <c r="A12" s="9">
        <v>10</v>
      </c>
      <c r="B12" s="16"/>
      <c r="C12" s="14">
        <v>84174</v>
      </c>
      <c r="D12" s="14" t="s">
        <v>67</v>
      </c>
      <c r="E12" s="14" t="s">
        <v>68</v>
      </c>
      <c r="F12" s="16" t="s">
        <v>34</v>
      </c>
      <c r="G12" s="11">
        <v>2280</v>
      </c>
      <c r="H12" s="12">
        <v>6.7087</v>
      </c>
    </row>
    <row r="13" customHeight="1" spans="1:8">
      <c r="A13" s="9">
        <v>11</v>
      </c>
      <c r="B13" s="16"/>
      <c r="C13" s="14">
        <v>166880</v>
      </c>
      <c r="D13" s="14" t="s">
        <v>69</v>
      </c>
      <c r="E13" s="14" t="s">
        <v>70</v>
      </c>
      <c r="F13" s="10" t="s">
        <v>71</v>
      </c>
      <c r="G13" s="11">
        <v>251</v>
      </c>
      <c r="H13" s="12">
        <v>4.1381</v>
      </c>
    </row>
    <row r="14" customHeight="1" spans="1:8">
      <c r="A14" s="9">
        <v>12</v>
      </c>
      <c r="B14" s="16"/>
      <c r="C14" s="14">
        <v>21580</v>
      </c>
      <c r="D14" s="14" t="s">
        <v>73</v>
      </c>
      <c r="E14" s="14" t="s">
        <v>74</v>
      </c>
      <c r="F14" s="10" t="s">
        <v>27</v>
      </c>
      <c r="G14" s="11">
        <v>2462</v>
      </c>
      <c r="H14" s="12">
        <v>17.6399</v>
      </c>
    </row>
    <row r="15" customHeight="1" spans="1:9">
      <c r="A15" s="9">
        <v>13</v>
      </c>
      <c r="B15" s="16" t="s">
        <v>302</v>
      </c>
      <c r="C15" s="16">
        <v>148955</v>
      </c>
      <c r="D15" s="16" t="s">
        <v>223</v>
      </c>
      <c r="E15" s="16" t="s">
        <v>224</v>
      </c>
      <c r="F15" s="16" t="s">
        <v>225</v>
      </c>
      <c r="G15" s="8">
        <v>560</v>
      </c>
      <c r="H15" s="11">
        <v>10.9</v>
      </c>
      <c r="I15" s="3"/>
    </row>
    <row r="16" customHeight="1" spans="1:9">
      <c r="A16" s="9">
        <v>14</v>
      </c>
      <c r="B16" s="16"/>
      <c r="C16" s="16">
        <v>1454</v>
      </c>
      <c r="D16" s="16" t="s">
        <v>226</v>
      </c>
      <c r="E16" s="16" t="s">
        <v>227</v>
      </c>
      <c r="F16" s="16" t="s">
        <v>225</v>
      </c>
      <c r="G16" s="11"/>
      <c r="H16" s="11"/>
      <c r="I16" s="3"/>
    </row>
    <row r="17" customHeight="1" spans="1:8">
      <c r="A17" s="9">
        <v>15</v>
      </c>
      <c r="B17" s="16" t="s">
        <v>303</v>
      </c>
      <c r="C17" s="17">
        <v>139954</v>
      </c>
      <c r="D17" s="17" t="s">
        <v>304</v>
      </c>
      <c r="E17" s="17" t="s">
        <v>305</v>
      </c>
      <c r="F17" s="17" t="s">
        <v>306</v>
      </c>
      <c r="G17" s="11">
        <v>645</v>
      </c>
      <c r="H17" s="11">
        <v>8.9</v>
      </c>
    </row>
    <row r="18" customHeight="1" spans="1:8">
      <c r="A18" s="9">
        <v>16</v>
      </c>
      <c r="B18" s="16"/>
      <c r="C18" s="18">
        <v>175235</v>
      </c>
      <c r="D18" s="17" t="s">
        <v>307</v>
      </c>
      <c r="E18" s="17" t="s">
        <v>308</v>
      </c>
      <c r="F18" s="17" t="s">
        <v>309</v>
      </c>
      <c r="G18" s="11"/>
      <c r="H18" s="11"/>
    </row>
    <row r="19" customHeight="1" spans="1:8">
      <c r="A19" s="9">
        <v>17</v>
      </c>
      <c r="B19" s="16"/>
      <c r="C19" s="19">
        <v>178962</v>
      </c>
      <c r="D19" s="20" t="s">
        <v>310</v>
      </c>
      <c r="E19" s="19" t="s">
        <v>311</v>
      </c>
      <c r="F19" s="21" t="s">
        <v>312</v>
      </c>
      <c r="G19" s="11"/>
      <c r="H19" s="11"/>
    </row>
    <row r="20" customHeight="1" spans="1:8">
      <c r="A20" s="9">
        <v>18</v>
      </c>
      <c r="B20" s="16"/>
      <c r="C20" s="19">
        <v>180979</v>
      </c>
      <c r="D20" s="20" t="s">
        <v>313</v>
      </c>
      <c r="E20" s="19" t="s">
        <v>314</v>
      </c>
      <c r="F20" s="20" t="s">
        <v>315</v>
      </c>
      <c r="G20" s="11"/>
      <c r="H20" s="11"/>
    </row>
    <row r="21" customHeight="1" spans="1:8">
      <c r="A21" s="9">
        <v>19</v>
      </c>
      <c r="B21" s="22" t="s">
        <v>316</v>
      </c>
      <c r="C21" s="23">
        <v>75028</v>
      </c>
      <c r="D21" s="24" t="s">
        <v>317</v>
      </c>
      <c r="E21" s="23" t="s">
        <v>318</v>
      </c>
      <c r="F21" s="25" t="s">
        <v>319</v>
      </c>
      <c r="G21" s="10">
        <v>2083</v>
      </c>
      <c r="H21" s="12">
        <v>4.617</v>
      </c>
    </row>
    <row r="22" customHeight="1" spans="1:8">
      <c r="A22" s="9"/>
      <c r="B22" s="22"/>
      <c r="C22" s="23">
        <v>171872</v>
      </c>
      <c r="D22" s="21" t="s">
        <v>320</v>
      </c>
      <c r="E22" s="23" t="s">
        <v>321</v>
      </c>
      <c r="F22" s="21" t="s">
        <v>322</v>
      </c>
      <c r="G22" s="10">
        <v>1784</v>
      </c>
      <c r="H22" s="12">
        <v>4.4819</v>
      </c>
    </row>
    <row r="23" customHeight="1" spans="1:8">
      <c r="A23" s="9"/>
      <c r="B23" s="22"/>
      <c r="C23" s="21">
        <v>134798</v>
      </c>
      <c r="D23" s="21" t="s">
        <v>323</v>
      </c>
      <c r="E23" s="21" t="s">
        <v>324</v>
      </c>
      <c r="F23" s="20" t="s">
        <v>325</v>
      </c>
      <c r="G23" s="10">
        <v>619</v>
      </c>
      <c r="H23" s="12">
        <v>2.3739</v>
      </c>
    </row>
    <row r="24" customHeight="1" spans="1:8">
      <c r="A24" s="9"/>
      <c r="B24" s="22"/>
      <c r="C24" s="21">
        <v>118013</v>
      </c>
      <c r="D24" s="20" t="s">
        <v>326</v>
      </c>
      <c r="E24" s="21" t="s">
        <v>327</v>
      </c>
      <c r="F24" s="20" t="s">
        <v>328</v>
      </c>
      <c r="G24" s="10">
        <v>156</v>
      </c>
      <c r="H24" s="12">
        <v>0.4525</v>
      </c>
    </row>
    <row r="25" customHeight="1" spans="1:8">
      <c r="A25" s="9"/>
      <c r="B25" s="22"/>
      <c r="C25" s="21">
        <v>179237</v>
      </c>
      <c r="D25" s="20" t="s">
        <v>326</v>
      </c>
      <c r="E25" s="21" t="s">
        <v>329</v>
      </c>
      <c r="F25" s="20" t="s">
        <v>328</v>
      </c>
      <c r="G25" s="10">
        <v>141</v>
      </c>
      <c r="H25" s="12">
        <v>0.911</v>
      </c>
    </row>
    <row r="26" customHeight="1" spans="1:8">
      <c r="A26" s="9">
        <v>24</v>
      </c>
      <c r="B26" s="22" t="s">
        <v>220</v>
      </c>
      <c r="C26" s="23"/>
      <c r="D26" s="21" t="s">
        <v>220</v>
      </c>
      <c r="E26" s="23"/>
      <c r="F26" s="24" t="s">
        <v>221</v>
      </c>
      <c r="G26" s="10">
        <v>4431</v>
      </c>
      <c r="H26" s="12">
        <v>15.8708</v>
      </c>
    </row>
  </sheetData>
  <mergeCells count="13">
    <mergeCell ref="A1:H1"/>
    <mergeCell ref="B3:B4"/>
    <mergeCell ref="B5:B7"/>
    <mergeCell ref="B8:B9"/>
    <mergeCell ref="B10:B14"/>
    <mergeCell ref="B15:B16"/>
    <mergeCell ref="B17:B20"/>
    <mergeCell ref="B21:B25"/>
    <mergeCell ref="G15:G16"/>
    <mergeCell ref="G17:G20"/>
    <mergeCell ref="H15:H16"/>
    <mergeCell ref="H17:H20"/>
    <mergeCell ref="I15:I16"/>
  </mergeCells>
  <pageMargins left="0.984027777777778" right="0.75" top="0.275" bottom="0.118055555555556" header="0.118055555555556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政策明细表（原始表）</vt:lpstr>
      <vt:lpstr>任务明细表</vt:lpstr>
      <vt:lpstr>10月</vt:lpstr>
      <vt:lpstr>谭姐2</vt:lpstr>
      <vt:lpstr>任务明细表 （确定版）</vt:lpstr>
      <vt:lpstr>政策明细表 (2)</vt:lpstr>
      <vt:lpstr>1.2yu</vt:lpstr>
      <vt:lpstr>谭姐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2019-03-28T09:59:16Z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false</vt:bool>
  </property>
</Properties>
</file>