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935"/>
  </bookViews>
  <sheets>
    <sheet name="会员发展任务及会员消费占比任务" sheetId="4" r:id="rId1"/>
    <sheet name="Sheet2" sheetId="2" r:id="rId2"/>
    <sheet name="Sheet3" sheetId="3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0" hidden="1">会员发展任务及会员消费占比任务!$A$2:$Y$103</definedName>
  </definedNames>
  <calcPr calcId="144525"/>
</workbook>
</file>

<file path=xl/sharedStrings.xml><?xml version="1.0" encoding="utf-8"?>
<sst xmlns="http://schemas.openxmlformats.org/spreadsheetml/2006/main" count="157">
  <si>
    <t>2018年12月会员任务（完成情况）</t>
  </si>
  <si>
    <t>会员发展</t>
  </si>
  <si>
    <t>会员占比</t>
  </si>
  <si>
    <t>无效会员</t>
  </si>
  <si>
    <t>序号</t>
  </si>
  <si>
    <t>门店ID</t>
  </si>
  <si>
    <t>片区</t>
  </si>
  <si>
    <r>
      <rPr>
        <sz val="14"/>
        <rFont val="宋体"/>
        <charset val="0"/>
      </rPr>
      <t>开业时间</t>
    </r>
    <r>
      <rPr>
        <sz val="10"/>
        <rFont val="宋体"/>
        <charset val="0"/>
      </rPr>
      <t>（有销售时间）</t>
    </r>
  </si>
  <si>
    <t>门店名称</t>
  </si>
  <si>
    <t>11月发展任务</t>
  </si>
  <si>
    <t>11月笔数</t>
  </si>
  <si>
    <t>11月会员消费占比情况</t>
  </si>
  <si>
    <t>12月发展会员任务(shuju )</t>
  </si>
  <si>
    <t>12月会员发展任务</t>
  </si>
  <si>
    <t>12月发展有效会员</t>
  </si>
  <si>
    <t>差额</t>
  </si>
  <si>
    <t>处罚</t>
  </si>
  <si>
    <t>11月会员消费占比任务</t>
  </si>
  <si>
    <t>11月会员占比情况</t>
  </si>
  <si>
    <t>12月会员消费占比任务</t>
  </si>
  <si>
    <t>12月门店销售任务</t>
  </si>
  <si>
    <t>12月会员消费占比完成情况</t>
  </si>
  <si>
    <t>增长率</t>
  </si>
  <si>
    <t>会员消费占比前3名奖励</t>
  </si>
  <si>
    <t>会员消费占比增长率排名前3名奖励</t>
  </si>
  <si>
    <t>无效会员个数</t>
  </si>
  <si>
    <t>合计罚款</t>
  </si>
  <si>
    <t>西北片区</t>
  </si>
  <si>
    <t>清江东路药店</t>
  </si>
  <si>
    <t>光华村街药店</t>
  </si>
  <si>
    <t>东南片区</t>
  </si>
  <si>
    <t>高新天久北巷药店</t>
  </si>
  <si>
    <t>城郊二片</t>
  </si>
  <si>
    <t>崇州市崇阳镇尚贤坊街药店</t>
  </si>
  <si>
    <t>都江堰药店</t>
  </si>
  <si>
    <t>崇州中心店</t>
  </si>
  <si>
    <t>枣子巷药店</t>
  </si>
  <si>
    <t>城中片区</t>
  </si>
  <si>
    <t>郫县郫筒镇东大街药店</t>
  </si>
  <si>
    <t>成华区万宇路药店</t>
  </si>
  <si>
    <t>武侯区科华街药店</t>
  </si>
  <si>
    <t>金丝街药店</t>
  </si>
  <si>
    <t>怀远店</t>
  </si>
  <si>
    <t>青羊区十二桥药店</t>
  </si>
  <si>
    <t>新乐中街药店</t>
  </si>
  <si>
    <t>城郊一片</t>
  </si>
  <si>
    <t>大邑县晋原镇通达东路五段药店</t>
  </si>
  <si>
    <t>人民中路店</t>
  </si>
  <si>
    <t>都江堰市蒲阳镇堰问道西路药店</t>
  </si>
  <si>
    <t>郫县郫筒镇一环路东南段药店</t>
  </si>
  <si>
    <t>大邑县晋原镇东街药店</t>
  </si>
  <si>
    <t>锦江区柳翠路药店</t>
  </si>
  <si>
    <t>成都成汉太极大药房有限公司</t>
  </si>
  <si>
    <t>龙潭西路店</t>
  </si>
  <si>
    <t>成华区新怡路店</t>
  </si>
  <si>
    <t>邛崃市羊安镇永康大道药店</t>
  </si>
  <si>
    <t>新都区马超东路店</t>
  </si>
  <si>
    <t>新津邓双镇岷江店</t>
  </si>
  <si>
    <t>金牛区交大路第三药店</t>
  </si>
  <si>
    <t>青羊区浣花滨河路药店</t>
  </si>
  <si>
    <t>锦江区水杉街药店</t>
  </si>
  <si>
    <t>锦江区观音桥街药店</t>
  </si>
  <si>
    <t>锦江区榕声路店</t>
  </si>
  <si>
    <t>高新区中和街道柳荫街药店</t>
  </si>
  <si>
    <t>邛崃中心药店</t>
  </si>
  <si>
    <t>锦江区庆云南街药店</t>
  </si>
  <si>
    <t>成华区华泰路药店</t>
  </si>
  <si>
    <t>武侯区顺和街店</t>
  </si>
  <si>
    <t>大邑县晋原镇内蒙古大道桃源药店</t>
  </si>
  <si>
    <t>旗舰片区</t>
  </si>
  <si>
    <t>旗舰店</t>
  </si>
  <si>
    <t>邛崃市临邛镇洪川小区药店</t>
  </si>
  <si>
    <t>兴义镇万兴路药店</t>
  </si>
  <si>
    <t>光华药店</t>
  </si>
  <si>
    <t>龙泉驿区龙泉街道驿生路药店</t>
  </si>
  <si>
    <t>高新区民丰大道西段药店</t>
  </si>
  <si>
    <t>双林路药店</t>
  </si>
  <si>
    <t>成华区崔家店路药店</t>
  </si>
  <si>
    <t>三江店</t>
  </si>
  <si>
    <t>新都区新繁镇繁江北路药店</t>
  </si>
  <si>
    <t>新园大道药店</t>
  </si>
  <si>
    <t>都江堰奎光路中段药店</t>
  </si>
  <si>
    <t>浆洗街药店</t>
  </si>
  <si>
    <t>成华区二环路北四段药店（汇融名城）</t>
  </si>
  <si>
    <t>都江堰景中路店</t>
  </si>
  <si>
    <t>都江堰幸福镇翔凤路药店</t>
  </si>
  <si>
    <t>红星店</t>
  </si>
  <si>
    <t>大邑县晋原镇子龙路店</t>
  </si>
  <si>
    <t>大邑县安仁镇千禧街药店</t>
  </si>
  <si>
    <t>温江店</t>
  </si>
  <si>
    <t>金牛区金沙路药店</t>
  </si>
  <si>
    <t>成华区华康路药店</t>
  </si>
  <si>
    <t>金带街药店</t>
  </si>
  <si>
    <t>邛崃市临邛镇长安大道药店</t>
  </si>
  <si>
    <t>锦江区合欢树街药店</t>
  </si>
  <si>
    <t>都江堰聚源镇药店</t>
  </si>
  <si>
    <t>武侯区聚萃街药店</t>
  </si>
  <si>
    <t>成华区万科路药店</t>
  </si>
  <si>
    <t>大邑县沙渠镇方圆路药店</t>
  </si>
  <si>
    <t>双流区东升街道三强西路药店</t>
  </si>
  <si>
    <t>高新区大源北街药店</t>
  </si>
  <si>
    <t>成华区华油路药店</t>
  </si>
  <si>
    <t>成华区羊子山西路药店（兴元华盛）</t>
  </si>
  <si>
    <t>金牛区黄苑东街药店</t>
  </si>
  <si>
    <t>土龙路药店</t>
  </si>
  <si>
    <t>大邑县晋源镇东壕沟段药店</t>
  </si>
  <si>
    <t>大邑县新场镇文昌街药店</t>
  </si>
  <si>
    <t>青羊区北东街店</t>
  </si>
  <si>
    <t>双流县西航港街道锦华路一段药店</t>
  </si>
  <si>
    <t>都江堰市蒲阳路药店</t>
  </si>
  <si>
    <t>通盈街药店</t>
  </si>
  <si>
    <t>2018.3.25</t>
  </si>
  <si>
    <t>温江区公平街道江安路药店</t>
  </si>
  <si>
    <t>五津西路药店</t>
  </si>
  <si>
    <t>清江东路2药店</t>
  </si>
  <si>
    <t>沙河源药店</t>
  </si>
  <si>
    <t>成华杉板桥南一路店</t>
  </si>
  <si>
    <t>2018.1.1</t>
  </si>
  <si>
    <t>温江区柳城街道鱼凫路药店</t>
  </si>
  <si>
    <t>西部店</t>
  </si>
  <si>
    <t>2018.4.26</t>
  </si>
  <si>
    <t>锦江区静明路药店</t>
  </si>
  <si>
    <t>2018.5.22</t>
  </si>
  <si>
    <t>新津县五津镇武阳西路药店</t>
  </si>
  <si>
    <t>2018.4.27</t>
  </si>
  <si>
    <t>锦江区劼人路药店</t>
  </si>
  <si>
    <t>2018.6.5</t>
  </si>
  <si>
    <t>青羊区贝森北路药店（12.5）</t>
  </si>
  <si>
    <t>青羊区童子街药店</t>
  </si>
  <si>
    <t>2018.5.30</t>
  </si>
  <si>
    <t>武侯区佳灵路药店</t>
  </si>
  <si>
    <t>2018.5.29</t>
  </si>
  <si>
    <t>邛崃市临邛镇翠荫街药店</t>
  </si>
  <si>
    <t>2018.6.8</t>
  </si>
  <si>
    <t>金牛区银河北街药店（12.8）</t>
  </si>
  <si>
    <t>2018.7.2</t>
  </si>
  <si>
    <t>成华区西林一街药店</t>
  </si>
  <si>
    <t>2018.6.29</t>
  </si>
  <si>
    <t>成华区金马河路药店</t>
  </si>
  <si>
    <t>2018.9.29</t>
  </si>
  <si>
    <r>
      <rPr>
        <sz val="11"/>
        <color rgb="FFFF0000"/>
        <rFont val="宋体"/>
        <charset val="0"/>
      </rPr>
      <t>永康东路药店</t>
    </r>
    <r>
      <rPr>
        <sz val="11"/>
        <color rgb="FFFF0000"/>
        <rFont val="Arial"/>
        <charset val="0"/>
      </rPr>
      <t xml:space="preserve"> </t>
    </r>
  </si>
  <si>
    <t>2018.10.9</t>
  </si>
  <si>
    <t>大华街药店</t>
  </si>
  <si>
    <t>2018.9.30</t>
  </si>
  <si>
    <t>中和大道药店</t>
  </si>
  <si>
    <t>2018.10.30</t>
  </si>
  <si>
    <t>潘家街药店</t>
  </si>
  <si>
    <t>2018.10.28</t>
  </si>
  <si>
    <t>蜀州中路药店</t>
  </si>
  <si>
    <t>合计</t>
  </si>
  <si>
    <t>上月会员占比80%及以上的按上月客流的4%制定发展任务</t>
  </si>
  <si>
    <t>上月会员占比70%-80%的按上月客流的6%制定发展任务</t>
  </si>
  <si>
    <t>上月会员占比60%-70%的按上月客流的8%制定发展任务</t>
  </si>
  <si>
    <t>上月会员占比50%-60%的按上月客流的10%制定发展任务</t>
  </si>
  <si>
    <t>上月会员占比50%以下的按上月客流的12%制定发展任务</t>
  </si>
  <si>
    <t>新开门店按创业门店任务执行，不再单独制定</t>
  </si>
  <si>
    <t>会员消费占比根据各店的情况制定了1%-2%不等的增幅任务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</si>
</sst>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%"/>
  </numFmts>
  <fonts count="43">
    <font>
      <sz val="11"/>
      <color theme="1"/>
      <name val="宋体"/>
      <charset val="134"/>
      <scheme val="minor"/>
    </font>
    <font>
      <b/>
      <sz val="18"/>
      <name val="宋体"/>
      <charset val="0"/>
    </font>
    <font>
      <sz val="12"/>
      <name val="宋体"/>
      <charset val="0"/>
    </font>
    <font>
      <sz val="14"/>
      <name val="宋体"/>
      <charset val="0"/>
    </font>
    <font>
      <b/>
      <sz val="12"/>
      <color rgb="FFFF0000"/>
      <name val="宋体"/>
      <charset val="0"/>
    </font>
    <font>
      <sz val="11"/>
      <name val="宋体"/>
      <charset val="0"/>
    </font>
    <font>
      <b/>
      <sz val="14"/>
      <name val="宋体"/>
      <charset val="0"/>
    </font>
    <font>
      <b/>
      <sz val="11"/>
      <color rgb="FFFF0000"/>
      <name val="宋体"/>
      <charset val="134"/>
      <scheme val="minor"/>
    </font>
    <font>
      <sz val="11"/>
      <color rgb="FF00B050"/>
      <name val="宋体"/>
      <charset val="134"/>
      <scheme val="minor"/>
    </font>
    <font>
      <sz val="11"/>
      <name val="宋体"/>
      <charset val="134"/>
      <scheme val="minor"/>
    </font>
    <font>
      <sz val="11"/>
      <color theme="9" tint="-0.5"/>
      <name val="宋体"/>
      <charset val="134"/>
      <scheme val="minor"/>
    </font>
    <font>
      <sz val="11"/>
      <color rgb="FFFFC000"/>
      <name val="宋体"/>
      <charset val="134"/>
      <scheme val="minor"/>
    </font>
    <font>
      <sz val="11"/>
      <color theme="5" tint="-0.25"/>
      <name val="宋体"/>
      <charset val="134"/>
      <scheme val="minor"/>
    </font>
    <font>
      <sz val="11"/>
      <color rgb="FF0070C0"/>
      <name val="宋体"/>
      <charset val="134"/>
      <scheme val="minor"/>
    </font>
    <font>
      <sz val="11"/>
      <color theme="8" tint="-0.5"/>
      <name val="宋体"/>
      <charset val="134"/>
      <scheme val="minor"/>
    </font>
    <font>
      <sz val="11"/>
      <color rgb="FF7030A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rgb="FFFF0000"/>
      <name val="宋体"/>
      <charset val="0"/>
    </font>
    <font>
      <sz val="10"/>
      <name val="Arial"/>
      <charset val="0"/>
    </font>
    <font>
      <sz val="10"/>
      <name val="宋体"/>
      <charset val="0"/>
    </font>
    <font>
      <sz val="10"/>
      <name val="宋体"/>
      <charset val="134"/>
    </font>
    <font>
      <sz val="10"/>
      <color theme="1" tint="0.25"/>
      <name val="Arial"/>
      <charset val="0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6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34" fillId="12" borderId="9" applyNumberFormat="0" applyAlignment="0" applyProtection="0">
      <alignment vertical="center"/>
    </xf>
    <xf numFmtId="0" fontId="30" fillId="12" borderId="5" applyNumberFormat="0" applyAlignment="0" applyProtection="0">
      <alignment vertical="center"/>
    </xf>
    <xf numFmtId="0" fontId="32" fillId="14" borderId="7" applyNumberFormat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5" fillId="0" borderId="1" xfId="11" applyNumberFormat="1" applyFont="1" applyFill="1" applyBorder="1" applyAlignment="1">
      <alignment horizontal="center"/>
    </xf>
    <xf numFmtId="10" fontId="5" fillId="0" borderId="1" xfId="11" applyNumberFormat="1" applyFont="1" applyFill="1" applyBorder="1" applyAlignment="1">
      <alignment horizontal="center"/>
    </xf>
    <xf numFmtId="0" fontId="5" fillId="2" borderId="1" xfId="11" applyNumberFormat="1" applyFont="1" applyFill="1" applyBorder="1" applyAlignment="1">
      <alignment horizontal="center"/>
    </xf>
    <xf numFmtId="9" fontId="5" fillId="0" borderId="1" xfId="11" applyNumberFormat="1" applyFont="1" applyFill="1" applyBorder="1" applyAlignment="1">
      <alignment horizontal="center"/>
    </xf>
    <xf numFmtId="10" fontId="5" fillId="2" borderId="1" xfId="11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8" fillId="0" borderId="1" xfId="11" applyNumberFormat="1" applyFont="1" applyBorder="1" applyAlignment="1">
      <alignment horizontal="center" vertical="center"/>
    </xf>
    <xf numFmtId="10" fontId="9" fillId="0" borderId="1" xfId="11" applyNumberFormat="1" applyFont="1" applyBorder="1" applyAlignment="1">
      <alignment horizontal="center" vertical="center"/>
    </xf>
    <xf numFmtId="176" fontId="10" fillId="0" borderId="1" xfId="11" applyNumberFormat="1" applyFont="1" applyBorder="1" applyAlignment="1">
      <alignment horizontal="center" vertical="center"/>
    </xf>
    <xf numFmtId="176" fontId="11" fillId="0" borderId="1" xfId="11" applyNumberFormat="1" applyFont="1" applyBorder="1" applyAlignment="1">
      <alignment horizontal="center" vertical="center"/>
    </xf>
    <xf numFmtId="176" fontId="12" fillId="0" borderId="1" xfId="11" applyNumberFormat="1" applyFont="1" applyBorder="1" applyAlignment="1">
      <alignment horizontal="center" vertical="center"/>
    </xf>
    <xf numFmtId="9" fontId="13" fillId="0" borderId="1" xfId="11" applyFont="1" applyBorder="1" applyAlignment="1">
      <alignment horizontal="center" vertical="center"/>
    </xf>
    <xf numFmtId="9" fontId="9" fillId="0" borderId="1" xfId="11" applyNumberFormat="1" applyFont="1" applyBorder="1" applyAlignment="1">
      <alignment horizontal="center" vertical="center"/>
    </xf>
    <xf numFmtId="176" fontId="14" fillId="0" borderId="1" xfId="11" applyNumberFormat="1" applyFont="1" applyBorder="1" applyAlignment="1">
      <alignment horizontal="center" vertical="center"/>
    </xf>
    <xf numFmtId="176" fontId="15" fillId="0" borderId="1" xfId="11" applyNumberFormat="1" applyFont="1" applyBorder="1" applyAlignment="1">
      <alignment horizontal="center" vertical="center"/>
    </xf>
    <xf numFmtId="176" fontId="16" fillId="0" borderId="1" xfId="11" applyNumberFormat="1" applyFont="1" applyBorder="1" applyAlignment="1">
      <alignment horizontal="center" vertical="center"/>
    </xf>
    <xf numFmtId="176" fontId="0" fillId="0" borderId="1" xfId="11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1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0" fillId="0" borderId="1" xfId="11" applyNumberFormat="1" applyBorder="1" applyAlignment="1">
      <alignment horizontal="center" vertical="center"/>
    </xf>
    <xf numFmtId="176" fontId="0" fillId="0" borderId="1" xfId="11" applyNumberFormat="1" applyBorder="1" applyAlignment="1">
      <alignment horizontal="center" vertical="center"/>
    </xf>
    <xf numFmtId="0" fontId="18" fillId="0" borderId="1" xfId="0" applyFont="1" applyFill="1" applyBorder="1" applyAlignment="1">
      <alignment horizontal="left"/>
    </xf>
    <xf numFmtId="0" fontId="19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left"/>
    </xf>
    <xf numFmtId="0" fontId="21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left" vertical="center"/>
    </xf>
    <xf numFmtId="0" fontId="18" fillId="2" borderId="1" xfId="11" applyNumberFormat="1" applyFont="1" applyFill="1" applyBorder="1" applyAlignment="1">
      <alignment horizontal="center"/>
    </xf>
    <xf numFmtId="0" fontId="18" fillId="0" borderId="1" xfId="11" applyNumberFormat="1" applyFont="1" applyFill="1" applyBorder="1" applyAlignment="1">
      <alignment horizontal="center"/>
    </xf>
    <xf numFmtId="0" fontId="18" fillId="3" borderId="1" xfId="11" applyNumberFormat="1" applyFont="1" applyFill="1" applyBorder="1" applyAlignment="1">
      <alignment horizontal="center"/>
    </xf>
    <xf numFmtId="0" fontId="5" fillId="3" borderId="1" xfId="11" applyNumberFormat="1" applyFont="1" applyFill="1" applyBorder="1" applyAlignment="1">
      <alignment horizontal="center"/>
    </xf>
    <xf numFmtId="10" fontId="8" fillId="0" borderId="1" xfId="0" applyNumberFormat="1" applyFont="1" applyFill="1" applyBorder="1" applyAlignment="1">
      <alignment horizontal="center" vertical="center"/>
    </xf>
    <xf numFmtId="10" fontId="22" fillId="0" borderId="1" xfId="11" applyNumberFormat="1" applyFont="1" applyFill="1" applyBorder="1" applyAlignment="1">
      <alignment horizontal="center"/>
    </xf>
    <xf numFmtId="176" fontId="9" fillId="0" borderId="1" xfId="11" applyNumberFormat="1" applyFont="1" applyBorder="1" applyAlignment="1">
      <alignment horizontal="center" vertical="center"/>
    </xf>
    <xf numFmtId="176" fontId="15" fillId="0" borderId="0" xfId="11" applyNumberFormat="1" applyFont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4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608;&#38144;&#21806;\&#38144;&#21806;&#25968;&#25454;\10&#26376;\2018&#24180;9.26-10.25&#26085;&#38144;&#21806;&#24773;&#2091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18.10.26-11.25&#38144;&#218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12&#26376;&#20250;&#21592;&#21457;&#23637;_2018122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608;&#38144;&#21806;\&#20250;&#21592;&#28040;&#36153;&#21344;&#27604;\12&#26376;&#26597;&#35810;&#38376;&#24215;&#20250;&#21592;&#28040;&#36153;&#21344;&#2760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</row>
        <row r="2">
          <cell r="D2" t="str">
            <v>门店ID</v>
          </cell>
          <cell r="E2" t="str">
            <v>门店名称</v>
          </cell>
          <cell r="F2" t="str">
            <v>是否是重点门店</v>
          </cell>
          <cell r="G2" t="str">
            <v>片区ID</v>
          </cell>
          <cell r="H2" t="str">
            <v>片区名称</v>
          </cell>
        </row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</v>
          </cell>
        </row>
        <row r="4">
          <cell r="D4">
            <v>582</v>
          </cell>
          <cell r="E4" t="str">
            <v>四川太极青羊区十二桥药店</v>
          </cell>
          <cell r="F4" t="str">
            <v>否</v>
          </cell>
          <cell r="G4">
            <v>181</v>
          </cell>
          <cell r="H4" t="str">
            <v>西北片区</v>
          </cell>
        </row>
        <row r="5">
          <cell r="D5">
            <v>341</v>
          </cell>
          <cell r="E5" t="str">
            <v>四川太极邛崃中心药店</v>
          </cell>
          <cell r="F5" t="str">
            <v>是</v>
          </cell>
          <cell r="G5">
            <v>235</v>
          </cell>
          <cell r="H5" t="str">
            <v>城郊一片区</v>
          </cell>
        </row>
        <row r="6">
          <cell r="D6">
            <v>517</v>
          </cell>
          <cell r="E6" t="str">
            <v>四川太极青羊区北东街店</v>
          </cell>
          <cell r="F6" t="str">
            <v>否</v>
          </cell>
          <cell r="G6">
            <v>23</v>
          </cell>
          <cell r="H6" t="str">
            <v>城中片区</v>
          </cell>
        </row>
        <row r="7">
          <cell r="D7">
            <v>343</v>
          </cell>
          <cell r="E7" t="str">
            <v>四川太极光华药店</v>
          </cell>
          <cell r="F7" t="str">
            <v>是</v>
          </cell>
          <cell r="G7">
            <v>181</v>
          </cell>
          <cell r="H7" t="str">
            <v>西北片区</v>
          </cell>
        </row>
        <row r="8">
          <cell r="D8">
            <v>750</v>
          </cell>
          <cell r="E8" t="str">
            <v>成都成汉太极大药房有限公司</v>
          </cell>
          <cell r="F8" t="str">
            <v/>
          </cell>
          <cell r="G8">
            <v>232</v>
          </cell>
          <cell r="H8" t="str">
            <v>东南片区</v>
          </cell>
        </row>
        <row r="9">
          <cell r="D9">
            <v>571</v>
          </cell>
          <cell r="E9" t="str">
            <v>四川太极高新区民丰大道西段药店</v>
          </cell>
          <cell r="F9" t="str">
            <v>是</v>
          </cell>
          <cell r="G9">
            <v>232</v>
          </cell>
          <cell r="H9" t="str">
            <v>东南片区</v>
          </cell>
        </row>
        <row r="10">
          <cell r="D10">
            <v>345</v>
          </cell>
          <cell r="E10" t="str">
            <v>四川太极交大药店</v>
          </cell>
          <cell r="F10" t="str">
            <v>否</v>
          </cell>
          <cell r="G10">
            <v>261</v>
          </cell>
          <cell r="H10" t="str">
            <v>团购片</v>
          </cell>
        </row>
        <row r="11">
          <cell r="D11">
            <v>712</v>
          </cell>
          <cell r="E11" t="str">
            <v>四川太极成华区华泰路药店</v>
          </cell>
          <cell r="F11" t="str">
            <v>否</v>
          </cell>
          <cell r="G11">
            <v>232</v>
          </cell>
          <cell r="H11" t="str">
            <v>东南片区</v>
          </cell>
        </row>
        <row r="12">
          <cell r="D12">
            <v>707</v>
          </cell>
          <cell r="E12" t="str">
            <v>四川太极成华区万科路药店</v>
          </cell>
          <cell r="F12" t="str">
            <v>否</v>
          </cell>
          <cell r="G12">
            <v>232</v>
          </cell>
          <cell r="H12" t="str">
            <v>东南片区</v>
          </cell>
        </row>
        <row r="13">
          <cell r="D13">
            <v>365</v>
          </cell>
          <cell r="E13" t="str">
            <v>四川太极光华村街药店</v>
          </cell>
          <cell r="F13" t="str">
            <v>是</v>
          </cell>
          <cell r="G13">
            <v>181</v>
          </cell>
          <cell r="H13" t="str">
            <v>西北片区</v>
          </cell>
        </row>
        <row r="14">
          <cell r="D14">
            <v>387</v>
          </cell>
          <cell r="E14" t="str">
            <v>四川太极新乐中街药店</v>
          </cell>
          <cell r="F14" t="str">
            <v>否</v>
          </cell>
          <cell r="G14">
            <v>232</v>
          </cell>
          <cell r="H14" t="str">
            <v>东南片区</v>
          </cell>
        </row>
        <row r="15">
          <cell r="D15">
            <v>385</v>
          </cell>
          <cell r="E15" t="str">
            <v>四川太极五津西路药店</v>
          </cell>
          <cell r="F15" t="str">
            <v>是</v>
          </cell>
          <cell r="G15">
            <v>235</v>
          </cell>
          <cell r="H15" t="str">
            <v>城郊一片区</v>
          </cell>
        </row>
        <row r="16">
          <cell r="D16">
            <v>581</v>
          </cell>
          <cell r="E16" t="str">
            <v>四川太极成华区二环路北四段药店（汇融名城）</v>
          </cell>
          <cell r="F16" t="str">
            <v>是</v>
          </cell>
          <cell r="G16">
            <v>181</v>
          </cell>
          <cell r="H16" t="str">
            <v>西北片区</v>
          </cell>
        </row>
        <row r="17">
          <cell r="D17">
            <v>585</v>
          </cell>
          <cell r="E17" t="str">
            <v>四川太极成华区羊子山西路药店（兴元华盛）</v>
          </cell>
          <cell r="F17" t="str">
            <v>否</v>
          </cell>
          <cell r="G17">
            <v>181</v>
          </cell>
          <cell r="H17" t="str">
            <v>西北片区</v>
          </cell>
        </row>
        <row r="18">
          <cell r="D18">
            <v>373</v>
          </cell>
          <cell r="E18" t="str">
            <v>四川太极通盈街药店</v>
          </cell>
          <cell r="F18" t="str">
            <v>否</v>
          </cell>
          <cell r="G18">
            <v>23</v>
          </cell>
          <cell r="H18" t="str">
            <v>城中片区</v>
          </cell>
        </row>
        <row r="19">
          <cell r="D19">
            <v>546</v>
          </cell>
          <cell r="E19" t="str">
            <v>四川太极锦江区榕声路店</v>
          </cell>
          <cell r="F19" t="str">
            <v>否</v>
          </cell>
          <cell r="G19">
            <v>232</v>
          </cell>
          <cell r="H19" t="str">
            <v>东南片区</v>
          </cell>
        </row>
        <row r="20">
          <cell r="D20">
            <v>513</v>
          </cell>
          <cell r="E20" t="str">
            <v>四川太极武侯区顺和街店</v>
          </cell>
          <cell r="F20" t="str">
            <v>否</v>
          </cell>
          <cell r="G20">
            <v>181</v>
          </cell>
          <cell r="H20" t="str">
            <v>西北片区</v>
          </cell>
        </row>
        <row r="21">
          <cell r="D21">
            <v>709</v>
          </cell>
          <cell r="E21" t="str">
            <v>四川太极新都区马超东路店</v>
          </cell>
          <cell r="F21" t="str">
            <v>否</v>
          </cell>
          <cell r="G21">
            <v>181</v>
          </cell>
          <cell r="H21" t="str">
            <v>西北片区</v>
          </cell>
        </row>
        <row r="22">
          <cell r="D22">
            <v>730</v>
          </cell>
          <cell r="E22" t="str">
            <v>四川太极新都区新繁镇繁江北路药店</v>
          </cell>
          <cell r="F22" t="str">
            <v>否</v>
          </cell>
          <cell r="G22">
            <v>181</v>
          </cell>
          <cell r="H22" t="str">
            <v>西北片区</v>
          </cell>
        </row>
        <row r="23">
          <cell r="D23">
            <v>724</v>
          </cell>
          <cell r="E23" t="str">
            <v>四川太极锦江区观音桥街药店</v>
          </cell>
          <cell r="F23" t="str">
            <v>否</v>
          </cell>
          <cell r="G23">
            <v>232</v>
          </cell>
          <cell r="H23" t="str">
            <v>东南片区</v>
          </cell>
        </row>
        <row r="24">
          <cell r="D24">
            <v>578</v>
          </cell>
          <cell r="E24" t="str">
            <v>四川太极成华区华油路药店</v>
          </cell>
          <cell r="F24" t="str">
            <v>否</v>
          </cell>
          <cell r="G24">
            <v>23</v>
          </cell>
          <cell r="H24" t="str">
            <v>城中片区</v>
          </cell>
        </row>
        <row r="25">
          <cell r="D25">
            <v>742</v>
          </cell>
          <cell r="E25" t="str">
            <v>四川太极锦江区庆云南街药店</v>
          </cell>
          <cell r="F25" t="str">
            <v/>
          </cell>
          <cell r="G25">
            <v>23</v>
          </cell>
          <cell r="H25" t="str">
            <v>城中片区</v>
          </cell>
        </row>
        <row r="26">
          <cell r="D26">
            <v>359</v>
          </cell>
          <cell r="E26" t="str">
            <v>四川太极枣子巷药店</v>
          </cell>
          <cell r="F26" t="str">
            <v>否</v>
          </cell>
          <cell r="G26">
            <v>181</v>
          </cell>
          <cell r="H26" t="str">
            <v>西北片区</v>
          </cell>
        </row>
        <row r="27">
          <cell r="D27">
            <v>399</v>
          </cell>
          <cell r="E27" t="str">
            <v>四川太极高新天久北巷药店</v>
          </cell>
          <cell r="F27" t="str">
            <v>否</v>
          </cell>
          <cell r="G27">
            <v>232</v>
          </cell>
          <cell r="H27" t="str">
            <v>东南片区</v>
          </cell>
        </row>
        <row r="28">
          <cell r="D28">
            <v>726</v>
          </cell>
          <cell r="E28" t="str">
            <v>四川太极金牛区交大路第三药店</v>
          </cell>
          <cell r="F28" t="str">
            <v>否</v>
          </cell>
          <cell r="G28">
            <v>181</v>
          </cell>
          <cell r="H28" t="str">
            <v>西北片区</v>
          </cell>
        </row>
        <row r="29">
          <cell r="D29">
            <v>355</v>
          </cell>
          <cell r="E29" t="str">
            <v>四川太极双林路药店</v>
          </cell>
          <cell r="F29" t="str">
            <v>是</v>
          </cell>
          <cell r="G29">
            <v>23</v>
          </cell>
          <cell r="H29" t="str">
            <v>城中片区</v>
          </cell>
        </row>
        <row r="30">
          <cell r="D30">
            <v>357</v>
          </cell>
          <cell r="E30" t="str">
            <v>四川太极清江东路药店</v>
          </cell>
          <cell r="F30" t="str">
            <v>否</v>
          </cell>
          <cell r="G30">
            <v>181</v>
          </cell>
          <cell r="H30" t="str">
            <v>西北片区</v>
          </cell>
        </row>
        <row r="31">
          <cell r="D31">
            <v>377</v>
          </cell>
          <cell r="E31" t="str">
            <v>四川太极新园大道药店</v>
          </cell>
          <cell r="F31" t="str">
            <v>否</v>
          </cell>
          <cell r="G31">
            <v>232</v>
          </cell>
          <cell r="H31" t="str">
            <v>东南片区</v>
          </cell>
        </row>
        <row r="32">
          <cell r="D32">
            <v>744</v>
          </cell>
          <cell r="E32" t="str">
            <v>四川太极武侯区科华街药店</v>
          </cell>
          <cell r="F32" t="str">
            <v/>
          </cell>
          <cell r="G32">
            <v>23</v>
          </cell>
          <cell r="H32" t="str">
            <v>城中片区</v>
          </cell>
        </row>
        <row r="33">
          <cell r="D33">
            <v>102934</v>
          </cell>
          <cell r="E33" t="str">
            <v>四川太极大药房连锁有限公司金牛区银河北街药店</v>
          </cell>
          <cell r="F33" t="str">
            <v/>
          </cell>
          <cell r="G33">
            <v>181</v>
          </cell>
          <cell r="H33" t="str">
            <v>西北片区</v>
          </cell>
        </row>
        <row r="34">
          <cell r="D34">
            <v>514</v>
          </cell>
          <cell r="E34" t="str">
            <v>四川太极新津邓双镇岷江店</v>
          </cell>
          <cell r="F34" t="str">
            <v>否</v>
          </cell>
          <cell r="G34">
            <v>235</v>
          </cell>
          <cell r="H34" t="str">
            <v>城郊一片区</v>
          </cell>
        </row>
        <row r="35">
          <cell r="D35">
            <v>391</v>
          </cell>
          <cell r="E35" t="str">
            <v>四川太极金丝街药店</v>
          </cell>
          <cell r="F35" t="str">
            <v>否</v>
          </cell>
          <cell r="G35">
            <v>23</v>
          </cell>
          <cell r="H35" t="str">
            <v>城中片区</v>
          </cell>
        </row>
        <row r="36">
          <cell r="D36">
            <v>379</v>
          </cell>
          <cell r="E36" t="str">
            <v>四川太极土龙路药店</v>
          </cell>
          <cell r="F36" t="str">
            <v>否</v>
          </cell>
          <cell r="G36">
            <v>181</v>
          </cell>
          <cell r="H36" t="str">
            <v>西北片区</v>
          </cell>
        </row>
        <row r="37">
          <cell r="D37">
            <v>329</v>
          </cell>
          <cell r="E37" t="str">
            <v>四川太极温江店</v>
          </cell>
          <cell r="F37" t="str">
            <v>是</v>
          </cell>
          <cell r="G37">
            <v>233</v>
          </cell>
          <cell r="H37" t="str">
            <v>城郊二片区</v>
          </cell>
        </row>
        <row r="38">
          <cell r="D38">
            <v>747</v>
          </cell>
          <cell r="E38" t="str">
            <v>四川太极郫县郫筒镇一环路东南段药店</v>
          </cell>
          <cell r="F38" t="str">
            <v/>
          </cell>
          <cell r="G38">
            <v>23</v>
          </cell>
          <cell r="H38" t="str">
            <v>城中片区</v>
          </cell>
        </row>
        <row r="39">
          <cell r="D39">
            <v>308</v>
          </cell>
          <cell r="E39" t="str">
            <v>四川太极红星店</v>
          </cell>
          <cell r="F39" t="str">
            <v>是</v>
          </cell>
          <cell r="G39">
            <v>23</v>
          </cell>
          <cell r="H39" t="str">
            <v>城中片区</v>
          </cell>
        </row>
        <row r="40">
          <cell r="D40">
            <v>746</v>
          </cell>
          <cell r="E40" t="str">
            <v>四川太极大邑县晋原镇内蒙古大道桃源药店</v>
          </cell>
          <cell r="F40" t="str">
            <v>否</v>
          </cell>
          <cell r="G40">
            <v>235</v>
          </cell>
          <cell r="H40" t="str">
            <v>城郊一片区</v>
          </cell>
        </row>
        <row r="41">
          <cell r="D41">
            <v>515</v>
          </cell>
          <cell r="E41" t="str">
            <v>四川太极成华区崔家店路药店</v>
          </cell>
          <cell r="F41" t="str">
            <v>否</v>
          </cell>
          <cell r="G41">
            <v>23</v>
          </cell>
          <cell r="H41" t="str">
            <v>城中片区</v>
          </cell>
        </row>
        <row r="42">
          <cell r="D42">
            <v>572</v>
          </cell>
          <cell r="E42" t="str">
            <v>四川太极郫县郫筒镇东大街药店</v>
          </cell>
          <cell r="F42" t="str">
            <v>否</v>
          </cell>
          <cell r="G42">
            <v>23</v>
          </cell>
          <cell r="H42" t="str">
            <v>城中片区</v>
          </cell>
        </row>
        <row r="43">
          <cell r="D43">
            <v>754</v>
          </cell>
          <cell r="E43" t="str">
            <v>四川太极崇州市崇阳镇尚贤坊街药店</v>
          </cell>
          <cell r="F43" t="str">
            <v/>
          </cell>
          <cell r="G43">
            <v>233</v>
          </cell>
          <cell r="H43" t="str">
            <v>城郊二片区</v>
          </cell>
        </row>
        <row r="44">
          <cell r="D44">
            <v>511</v>
          </cell>
          <cell r="E44" t="str">
            <v>四川太极成华杉板桥南一路店</v>
          </cell>
          <cell r="F44" t="str">
            <v>否</v>
          </cell>
          <cell r="G44">
            <v>23</v>
          </cell>
          <cell r="H44" t="str">
            <v>城中片区</v>
          </cell>
        </row>
        <row r="45">
          <cell r="D45">
            <v>349</v>
          </cell>
          <cell r="E45" t="str">
            <v>四川太极人民中路店</v>
          </cell>
          <cell r="F45" t="str">
            <v>否</v>
          </cell>
          <cell r="G45">
            <v>23</v>
          </cell>
          <cell r="H45" t="str">
            <v>城中片区</v>
          </cell>
        </row>
        <row r="46">
          <cell r="D46">
            <v>598</v>
          </cell>
          <cell r="E46" t="str">
            <v>四川太极锦江区水杉街药店</v>
          </cell>
          <cell r="F46" t="str">
            <v>否</v>
          </cell>
          <cell r="G46">
            <v>232</v>
          </cell>
          <cell r="H46" t="str">
            <v>东南片区</v>
          </cell>
        </row>
        <row r="47">
          <cell r="D47">
            <v>737</v>
          </cell>
          <cell r="E47" t="str">
            <v>四川太极高新区大源北街药店</v>
          </cell>
          <cell r="F47" t="str">
            <v>否</v>
          </cell>
          <cell r="G47">
            <v>232</v>
          </cell>
          <cell r="H47" t="str">
            <v>东南片区</v>
          </cell>
        </row>
        <row r="48">
          <cell r="D48">
            <v>351</v>
          </cell>
          <cell r="E48" t="str">
            <v>四川太极都江堰药店</v>
          </cell>
          <cell r="F48" t="str">
            <v>是</v>
          </cell>
          <cell r="G48">
            <v>233</v>
          </cell>
          <cell r="H48" t="str">
            <v>城郊二片区</v>
          </cell>
        </row>
        <row r="49">
          <cell r="D49">
            <v>101453</v>
          </cell>
          <cell r="E49" t="str">
            <v>四川太极温江区公平街道江安路药店</v>
          </cell>
          <cell r="F49" t="str">
            <v/>
          </cell>
          <cell r="G49">
            <v>233</v>
          </cell>
          <cell r="H49" t="str">
            <v>城郊二片区</v>
          </cell>
        </row>
        <row r="50">
          <cell r="D50">
            <v>52</v>
          </cell>
          <cell r="E50" t="str">
            <v>四川太极崇州中心店</v>
          </cell>
          <cell r="F50" t="str">
            <v>是</v>
          </cell>
          <cell r="G50">
            <v>233</v>
          </cell>
          <cell r="H50" t="str">
            <v>城郊二片区</v>
          </cell>
        </row>
        <row r="51">
          <cell r="D51">
            <v>367</v>
          </cell>
          <cell r="E51" t="str">
            <v>四川太极金带街药店</v>
          </cell>
          <cell r="F51" t="str">
            <v>否</v>
          </cell>
          <cell r="G51">
            <v>233</v>
          </cell>
          <cell r="H51" t="str">
            <v>城郊二片区</v>
          </cell>
        </row>
        <row r="52">
          <cell r="D52">
            <v>587</v>
          </cell>
          <cell r="E52" t="str">
            <v>四川太极都江堰景中路店</v>
          </cell>
          <cell r="F52" t="str">
            <v>否</v>
          </cell>
          <cell r="G52">
            <v>233</v>
          </cell>
          <cell r="H52" t="str">
            <v>城郊二片区</v>
          </cell>
        </row>
        <row r="53">
          <cell r="D53">
            <v>704</v>
          </cell>
          <cell r="E53" t="str">
            <v>四川太极都江堰奎光路中段药店</v>
          </cell>
          <cell r="F53" t="str">
            <v>否</v>
          </cell>
          <cell r="G53">
            <v>233</v>
          </cell>
          <cell r="H53" t="str">
            <v>城郊二片区</v>
          </cell>
        </row>
        <row r="54">
          <cell r="D54">
            <v>103198</v>
          </cell>
          <cell r="E54" t="str">
            <v>四川太极大药房连锁有限公司青羊区贝森北路药店</v>
          </cell>
          <cell r="F54" t="str">
            <v/>
          </cell>
          <cell r="G54">
            <v>181</v>
          </cell>
          <cell r="H54" t="str">
            <v>西北片区</v>
          </cell>
        </row>
        <row r="55">
          <cell r="D55">
            <v>347</v>
          </cell>
          <cell r="E55" t="str">
            <v>四川太极清江东路2药店</v>
          </cell>
          <cell r="F55" t="str">
            <v>是</v>
          </cell>
          <cell r="G55">
            <v>181</v>
          </cell>
          <cell r="H55" t="str">
            <v>西北片区</v>
          </cell>
        </row>
        <row r="56">
          <cell r="D56">
            <v>721</v>
          </cell>
          <cell r="E56" t="str">
            <v>四川太极邛崃市临邛镇洪川小区药店</v>
          </cell>
          <cell r="F56" t="str">
            <v>否</v>
          </cell>
          <cell r="G56">
            <v>235</v>
          </cell>
          <cell r="H56" t="str">
            <v>城郊一片区</v>
          </cell>
        </row>
        <row r="57">
          <cell r="D57">
            <v>745</v>
          </cell>
          <cell r="E57" t="str">
            <v>四川太极金牛区金沙路药店</v>
          </cell>
          <cell r="F57" t="str">
            <v/>
          </cell>
          <cell r="G57">
            <v>181</v>
          </cell>
          <cell r="H57" t="str">
            <v>西北片区</v>
          </cell>
        </row>
        <row r="58">
          <cell r="D58">
            <v>570</v>
          </cell>
          <cell r="E58" t="str">
            <v>四川太极青羊区浣花滨河路药店</v>
          </cell>
          <cell r="F58" t="str">
            <v>否</v>
          </cell>
          <cell r="G58">
            <v>181</v>
          </cell>
          <cell r="H58" t="str">
            <v>西北片区</v>
          </cell>
        </row>
        <row r="59">
          <cell r="D59">
            <v>584</v>
          </cell>
          <cell r="E59" t="str">
            <v>四川太极高新区中和街道柳荫街药店</v>
          </cell>
          <cell r="F59" t="str">
            <v>否</v>
          </cell>
          <cell r="G59">
            <v>232</v>
          </cell>
          <cell r="H59" t="str">
            <v>东南片区</v>
          </cell>
        </row>
        <row r="60">
          <cell r="D60">
            <v>102565</v>
          </cell>
          <cell r="E60" t="str">
            <v>四川太极武侯区佳灵路药店</v>
          </cell>
          <cell r="F60" t="str">
            <v/>
          </cell>
          <cell r="G60">
            <v>181</v>
          </cell>
          <cell r="H60" t="str">
            <v>西北片区</v>
          </cell>
        </row>
        <row r="61">
          <cell r="D61">
            <v>748</v>
          </cell>
          <cell r="E61" t="str">
            <v>四川太极大邑县晋原镇东街药店</v>
          </cell>
          <cell r="F61" t="str">
            <v/>
          </cell>
          <cell r="G61">
            <v>235</v>
          </cell>
          <cell r="H61" t="str">
            <v>城郊一片区</v>
          </cell>
        </row>
        <row r="62">
          <cell r="D62">
            <v>102935</v>
          </cell>
          <cell r="E62" t="str">
            <v>四川太极大药房连锁有限公司青羊区童子街药店</v>
          </cell>
          <cell r="F62" t="str">
            <v/>
          </cell>
          <cell r="G62">
            <v>23</v>
          </cell>
          <cell r="H62" t="str">
            <v>城中片区</v>
          </cell>
        </row>
        <row r="63">
          <cell r="D63">
            <v>339</v>
          </cell>
          <cell r="E63" t="str">
            <v>四川太极沙河源药店</v>
          </cell>
          <cell r="F63" t="str">
            <v>是</v>
          </cell>
          <cell r="G63">
            <v>181</v>
          </cell>
          <cell r="H63" t="str">
            <v>西北片区</v>
          </cell>
        </row>
        <row r="64">
          <cell r="D64">
            <v>743</v>
          </cell>
          <cell r="E64" t="str">
            <v>四川太极成华区万宇路药店</v>
          </cell>
          <cell r="F64" t="str">
            <v/>
          </cell>
          <cell r="G64">
            <v>232</v>
          </cell>
          <cell r="H64" t="str">
            <v>东南片区</v>
          </cell>
        </row>
        <row r="65">
          <cell r="D65">
            <v>573</v>
          </cell>
          <cell r="E65" t="str">
            <v>四川太极双流县西航港街道锦华路一段药店</v>
          </cell>
          <cell r="F65" t="str">
            <v>否</v>
          </cell>
          <cell r="G65">
            <v>232</v>
          </cell>
          <cell r="H65" t="str">
            <v>东南片区</v>
          </cell>
        </row>
        <row r="66">
          <cell r="D66">
            <v>311</v>
          </cell>
          <cell r="E66" t="str">
            <v>四川太极西部店</v>
          </cell>
          <cell r="F66" t="str">
            <v>是</v>
          </cell>
          <cell r="G66">
            <v>181</v>
          </cell>
          <cell r="H66" t="str">
            <v>西北片区</v>
          </cell>
        </row>
        <row r="67">
          <cell r="D67">
            <v>549</v>
          </cell>
          <cell r="E67" t="str">
            <v>四川太极大邑县晋源镇东壕沟段药店</v>
          </cell>
          <cell r="F67" t="str">
            <v>否</v>
          </cell>
          <cell r="G67">
            <v>235</v>
          </cell>
          <cell r="H67" t="str">
            <v>城郊一片区</v>
          </cell>
        </row>
        <row r="68">
          <cell r="D68">
            <v>727</v>
          </cell>
          <cell r="E68" t="str">
            <v>四川太极金牛区黄苑东街药店</v>
          </cell>
          <cell r="F68" t="str">
            <v>否</v>
          </cell>
          <cell r="G68">
            <v>181</v>
          </cell>
          <cell r="H68" t="str">
            <v>西北片区</v>
          </cell>
        </row>
        <row r="69">
          <cell r="D69">
            <v>102479</v>
          </cell>
          <cell r="E69" t="str">
            <v>四川太极锦江区劼人路药店</v>
          </cell>
          <cell r="F69" t="str">
            <v/>
          </cell>
          <cell r="G69">
            <v>23</v>
          </cell>
          <cell r="H69" t="str">
            <v>城中片区</v>
          </cell>
        </row>
        <row r="70">
          <cell r="D70">
            <v>539</v>
          </cell>
          <cell r="E70" t="str">
            <v>四川太极大邑县晋原镇子龙路店</v>
          </cell>
          <cell r="F70" t="str">
            <v>否</v>
          </cell>
          <cell r="G70">
            <v>235</v>
          </cell>
          <cell r="H70" t="str">
            <v>城郊一片区</v>
          </cell>
        </row>
        <row r="71">
          <cell r="D71">
            <v>591</v>
          </cell>
          <cell r="E71" t="str">
            <v>四川太极邛崃市临邛镇长安大道药店</v>
          </cell>
          <cell r="F71" t="str">
            <v>否</v>
          </cell>
          <cell r="G71">
            <v>235</v>
          </cell>
          <cell r="H71" t="str">
            <v>城郊一片区</v>
          </cell>
        </row>
        <row r="72">
          <cell r="D72">
            <v>716</v>
          </cell>
          <cell r="E72" t="str">
            <v>四川太极大邑县沙渠镇方圆路药店</v>
          </cell>
          <cell r="F72" t="str">
            <v>否</v>
          </cell>
          <cell r="G72">
            <v>235</v>
          </cell>
          <cell r="H72" t="str">
            <v>城郊一片区</v>
          </cell>
        </row>
        <row r="73">
          <cell r="D73">
            <v>752</v>
          </cell>
          <cell r="E73" t="str">
            <v>四川太极大药房连锁有限公司武侯区聚萃街药店</v>
          </cell>
          <cell r="F73" t="str">
            <v/>
          </cell>
          <cell r="G73">
            <v>181</v>
          </cell>
          <cell r="H73" t="str">
            <v>西北片区</v>
          </cell>
        </row>
        <row r="74">
          <cell r="D74">
            <v>733</v>
          </cell>
          <cell r="E74" t="str">
            <v>四川太极双流区东升街道三强西路药店</v>
          </cell>
          <cell r="F74" t="str">
            <v>否</v>
          </cell>
          <cell r="G74">
            <v>232</v>
          </cell>
          <cell r="H74" t="str">
            <v>东南片区</v>
          </cell>
        </row>
        <row r="75">
          <cell r="D75">
            <v>740</v>
          </cell>
          <cell r="E75" t="str">
            <v>四川太极成华区华康路药店</v>
          </cell>
          <cell r="F75" t="str">
            <v/>
          </cell>
          <cell r="G75">
            <v>232</v>
          </cell>
          <cell r="H75" t="str">
            <v>东南片区</v>
          </cell>
        </row>
        <row r="76">
          <cell r="D76">
            <v>738</v>
          </cell>
          <cell r="E76" t="str">
            <v>四川太极都江堰市蒲阳路药店</v>
          </cell>
          <cell r="F76" t="str">
            <v>否</v>
          </cell>
          <cell r="G76">
            <v>233</v>
          </cell>
          <cell r="H76" t="str">
            <v>城郊二片区</v>
          </cell>
        </row>
        <row r="77">
          <cell r="D77">
            <v>56</v>
          </cell>
          <cell r="E77" t="str">
            <v>四川太极三江店</v>
          </cell>
          <cell r="F77" t="str">
            <v>是</v>
          </cell>
          <cell r="G77">
            <v>233</v>
          </cell>
          <cell r="H77" t="str">
            <v>城郊二片区</v>
          </cell>
        </row>
        <row r="78">
          <cell r="D78">
            <v>718</v>
          </cell>
          <cell r="E78" t="str">
            <v>四川太极龙泉驿区龙泉街道驿生路药店</v>
          </cell>
          <cell r="F78" t="str">
            <v>否</v>
          </cell>
          <cell r="G78">
            <v>23</v>
          </cell>
          <cell r="H78" t="str">
            <v>城中片区</v>
          </cell>
        </row>
        <row r="79">
          <cell r="D79">
            <v>720</v>
          </cell>
          <cell r="E79" t="str">
            <v>四川太极大邑县新场镇文昌街药店</v>
          </cell>
          <cell r="F79" t="str">
            <v>否</v>
          </cell>
          <cell r="G79">
            <v>235</v>
          </cell>
          <cell r="H79" t="str">
            <v>城郊一片区</v>
          </cell>
        </row>
        <row r="80">
          <cell r="D80">
            <v>54</v>
          </cell>
          <cell r="E80" t="str">
            <v>四川太极怀远店</v>
          </cell>
          <cell r="F80" t="str">
            <v>是</v>
          </cell>
          <cell r="G80">
            <v>233</v>
          </cell>
          <cell r="H80" t="str">
            <v>城郊二片区</v>
          </cell>
        </row>
        <row r="81">
          <cell r="D81">
            <v>723</v>
          </cell>
          <cell r="E81" t="str">
            <v>四川太极锦江区柳翠路药店</v>
          </cell>
          <cell r="F81" t="str">
            <v>否</v>
          </cell>
          <cell r="G81">
            <v>23</v>
          </cell>
          <cell r="H81" t="str">
            <v>城中片区</v>
          </cell>
        </row>
        <row r="82">
          <cell r="D82">
            <v>594</v>
          </cell>
          <cell r="E82" t="str">
            <v>四川太极大邑县安仁镇千禧街药店</v>
          </cell>
          <cell r="F82" t="str">
            <v>否</v>
          </cell>
          <cell r="G82">
            <v>235</v>
          </cell>
          <cell r="H82" t="str">
            <v>城郊一片区</v>
          </cell>
        </row>
        <row r="83">
          <cell r="D83">
            <v>545</v>
          </cell>
          <cell r="E83" t="str">
            <v>四川太极龙潭西路店</v>
          </cell>
          <cell r="F83" t="str">
            <v>是</v>
          </cell>
          <cell r="G83">
            <v>232</v>
          </cell>
          <cell r="H83" t="str">
            <v>东南片区</v>
          </cell>
        </row>
        <row r="84">
          <cell r="D84">
            <v>103639</v>
          </cell>
          <cell r="E84" t="str">
            <v>四川太极成华区金马河路药店</v>
          </cell>
          <cell r="F84" t="str">
            <v/>
          </cell>
          <cell r="G84">
            <v>232</v>
          </cell>
          <cell r="H84" t="str">
            <v>东南片区</v>
          </cell>
        </row>
        <row r="85">
          <cell r="D85">
            <v>371</v>
          </cell>
          <cell r="E85" t="str">
            <v>四川太极兴义镇万兴路药店</v>
          </cell>
          <cell r="F85" t="str">
            <v>否</v>
          </cell>
          <cell r="G85">
            <v>235</v>
          </cell>
          <cell r="H85" t="str">
            <v>城郊一片区</v>
          </cell>
        </row>
        <row r="86">
          <cell r="D86">
            <v>103199</v>
          </cell>
          <cell r="E86" t="str">
            <v>四川太极大药房连锁有限公司成华区西林一街药店</v>
          </cell>
          <cell r="F86" t="str">
            <v/>
          </cell>
          <cell r="G86">
            <v>181</v>
          </cell>
          <cell r="H86" t="str">
            <v>西北片区</v>
          </cell>
        </row>
        <row r="87">
          <cell r="D87">
            <v>102567</v>
          </cell>
          <cell r="E87" t="str">
            <v>四川太极新津县五津镇武阳西路药店</v>
          </cell>
          <cell r="F87" t="str">
            <v/>
          </cell>
          <cell r="G87">
            <v>235</v>
          </cell>
          <cell r="H87" t="str">
            <v>城郊一片区</v>
          </cell>
        </row>
        <row r="88">
          <cell r="D88">
            <v>710</v>
          </cell>
          <cell r="E88" t="str">
            <v>四川太极都江堰市蒲阳镇堰问道西路药店</v>
          </cell>
          <cell r="F88" t="str">
            <v>否</v>
          </cell>
          <cell r="G88">
            <v>233</v>
          </cell>
          <cell r="H88" t="str">
            <v>城郊二片区</v>
          </cell>
        </row>
        <row r="89">
          <cell r="D89">
            <v>337</v>
          </cell>
          <cell r="E89" t="str">
            <v>四川太极浆洗街药店</v>
          </cell>
          <cell r="F89" t="str">
            <v>是</v>
          </cell>
          <cell r="G89">
            <v>23</v>
          </cell>
          <cell r="H89" t="str">
            <v>城中片区</v>
          </cell>
        </row>
        <row r="90">
          <cell r="D90">
            <v>732</v>
          </cell>
          <cell r="E90" t="str">
            <v>四川太极邛崃市羊安镇永康大道药店</v>
          </cell>
          <cell r="F90" t="str">
            <v>否</v>
          </cell>
          <cell r="G90">
            <v>235</v>
          </cell>
          <cell r="H90" t="str">
            <v>城郊一片区</v>
          </cell>
        </row>
        <row r="91">
          <cell r="D91">
            <v>753</v>
          </cell>
          <cell r="E91" t="str">
            <v>四川太极锦江区合欢树街药店</v>
          </cell>
          <cell r="F91" t="str">
            <v/>
          </cell>
          <cell r="G91">
            <v>232</v>
          </cell>
          <cell r="H91" t="str">
            <v>东南片区</v>
          </cell>
        </row>
        <row r="92">
          <cell r="D92">
            <v>717</v>
          </cell>
          <cell r="E92" t="str">
            <v>四川太极大邑县晋原镇通达东路五段药店</v>
          </cell>
          <cell r="F92" t="str">
            <v>否</v>
          </cell>
          <cell r="G92">
            <v>235</v>
          </cell>
          <cell r="H92" t="str">
            <v>城郊一片区</v>
          </cell>
        </row>
        <row r="93">
          <cell r="D93">
            <v>102478</v>
          </cell>
          <cell r="E93" t="str">
            <v>四川太极锦江区静明路药店</v>
          </cell>
          <cell r="F93" t="str">
            <v/>
          </cell>
          <cell r="G93">
            <v>23</v>
          </cell>
          <cell r="H93" t="str">
            <v>城中片区</v>
          </cell>
        </row>
        <row r="94">
          <cell r="D94">
            <v>741</v>
          </cell>
          <cell r="E94" t="str">
            <v>四川太极成华区新怡路店</v>
          </cell>
          <cell r="F94" t="str">
            <v/>
          </cell>
          <cell r="G94">
            <v>181</v>
          </cell>
          <cell r="H94" t="str">
            <v>西北片区</v>
          </cell>
        </row>
        <row r="95">
          <cell r="D95">
            <v>713</v>
          </cell>
          <cell r="E95" t="str">
            <v>四川太极都江堰聚源镇药店</v>
          </cell>
          <cell r="F95" t="str">
            <v>否</v>
          </cell>
          <cell r="G95">
            <v>233</v>
          </cell>
          <cell r="H95" t="str">
            <v>城郊二片区</v>
          </cell>
        </row>
        <row r="96">
          <cell r="D96">
            <v>102564</v>
          </cell>
          <cell r="E96" t="str">
            <v>四川太极邛崃市临邛镇翠荫街药店</v>
          </cell>
          <cell r="F96" t="str">
            <v/>
          </cell>
          <cell r="G96">
            <v>235</v>
          </cell>
          <cell r="H96" t="str">
            <v>城郊一片区</v>
          </cell>
        </row>
        <row r="97">
          <cell r="D97">
            <v>706</v>
          </cell>
          <cell r="E97" t="str">
            <v>四川太极都江堰幸福镇翔凤路药店</v>
          </cell>
          <cell r="F97" t="str">
            <v>否</v>
          </cell>
          <cell r="G97">
            <v>233</v>
          </cell>
          <cell r="H97" t="str">
            <v>城郊二片区</v>
          </cell>
        </row>
        <row r="98">
          <cell r="D98">
            <v>104428</v>
          </cell>
          <cell r="E98" t="str">
            <v>四川太极崇州市崇阳镇永康东路药店 </v>
          </cell>
          <cell r="F98" t="str">
            <v/>
          </cell>
          <cell r="G98">
            <v>233</v>
          </cell>
          <cell r="H98" t="str">
            <v>城郊二片区</v>
          </cell>
        </row>
        <row r="99">
          <cell r="D99">
            <v>755</v>
          </cell>
          <cell r="E99" t="str">
            <v>四川太极温江区柳城街道鱼凫路药店</v>
          </cell>
          <cell r="F99" t="str">
            <v/>
          </cell>
          <cell r="G99">
            <v>233</v>
          </cell>
          <cell r="H99" t="str">
            <v>城郊二片区</v>
          </cell>
        </row>
        <row r="100">
          <cell r="D100">
            <v>104429</v>
          </cell>
          <cell r="E100" t="str">
            <v>四川太极武侯区大华街药店</v>
          </cell>
          <cell r="F100" t="str">
            <v/>
          </cell>
          <cell r="G100">
            <v>181</v>
          </cell>
          <cell r="H100" t="str">
            <v>西北片区</v>
          </cell>
        </row>
        <row r="101">
          <cell r="D101">
            <v>104430</v>
          </cell>
          <cell r="E101" t="str">
            <v>四川太极高新区中和大道药店</v>
          </cell>
          <cell r="F101" t="str">
            <v/>
          </cell>
          <cell r="G101">
            <v>232</v>
          </cell>
          <cell r="H101" t="str">
            <v>东南片区</v>
          </cell>
        </row>
        <row r="102">
          <cell r="D102" t="str">
            <v>合计</v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原表"/>
      <sheetName val="数据原表"/>
      <sheetName val="新开及装修门店"/>
      <sheetName val="存量门店"/>
      <sheetName val="排行榜"/>
      <sheetName val="排行榜 营运专栏"/>
    </sheetNames>
    <sheetDataSet>
      <sheetData sheetId="0">
        <row r="1"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>销售笔数</v>
          </cell>
        </row>
        <row r="2">
          <cell r="D2" t="str">
            <v>门店ID</v>
          </cell>
          <cell r="E2" t="str">
            <v>门店名称</v>
          </cell>
          <cell r="F2" t="str">
            <v>是否是重点门店</v>
          </cell>
          <cell r="G2" t="str">
            <v>片区ID</v>
          </cell>
          <cell r="H2" t="str">
            <v>片区名称</v>
          </cell>
          <cell r="I2" t="str">
            <v>片区主管</v>
          </cell>
          <cell r="J2" t="str">
            <v>销售笔数</v>
          </cell>
        </row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</v>
          </cell>
          <cell r="I3" t="str">
            <v>谭勤娟</v>
          </cell>
          <cell r="J3">
            <v>15692</v>
          </cell>
        </row>
        <row r="4">
          <cell r="D4">
            <v>582</v>
          </cell>
          <cell r="E4" t="str">
            <v>四川太极青羊区十二桥药店</v>
          </cell>
          <cell r="F4" t="str">
            <v>否</v>
          </cell>
          <cell r="G4">
            <v>181</v>
          </cell>
          <cell r="H4" t="str">
            <v>西北片区</v>
          </cell>
          <cell r="I4" t="str">
            <v>刘琴英 </v>
          </cell>
          <cell r="J4">
            <v>8105</v>
          </cell>
        </row>
        <row r="5">
          <cell r="D5">
            <v>517</v>
          </cell>
          <cell r="E5" t="str">
            <v>四川太极青羊区北东街店</v>
          </cell>
          <cell r="F5" t="str">
            <v>否</v>
          </cell>
          <cell r="G5">
            <v>23</v>
          </cell>
          <cell r="H5" t="str">
            <v>城中片区</v>
          </cell>
          <cell r="I5" t="str">
            <v>何巍 </v>
          </cell>
          <cell r="J5">
            <v>7372</v>
          </cell>
        </row>
        <row r="6">
          <cell r="D6">
            <v>750</v>
          </cell>
          <cell r="E6" t="str">
            <v>成都成汉太极大药房有限公司</v>
          </cell>
          <cell r="F6" t="str">
            <v/>
          </cell>
          <cell r="G6">
            <v>232</v>
          </cell>
          <cell r="H6" t="str">
            <v>东南片区</v>
          </cell>
          <cell r="I6" t="str">
            <v>贾兰 </v>
          </cell>
          <cell r="J6">
            <v>8418</v>
          </cell>
        </row>
        <row r="7">
          <cell r="D7">
            <v>341</v>
          </cell>
          <cell r="E7" t="str">
            <v>四川太极邛崃中心药店</v>
          </cell>
          <cell r="F7" t="str">
            <v>是</v>
          </cell>
          <cell r="G7">
            <v>235</v>
          </cell>
          <cell r="H7" t="str">
            <v>城郊一片区</v>
          </cell>
          <cell r="I7" t="str">
            <v>周佳玉</v>
          </cell>
          <cell r="J7">
            <v>7005</v>
          </cell>
        </row>
        <row r="8">
          <cell r="D8">
            <v>343</v>
          </cell>
          <cell r="E8" t="str">
            <v>四川太极光华药店</v>
          </cell>
          <cell r="F8" t="str">
            <v>是</v>
          </cell>
          <cell r="G8">
            <v>181</v>
          </cell>
          <cell r="H8" t="str">
            <v>西北片区</v>
          </cell>
          <cell r="I8" t="str">
            <v>刘琴英 </v>
          </cell>
          <cell r="J8">
            <v>5612</v>
          </cell>
        </row>
        <row r="9">
          <cell r="D9">
            <v>571</v>
          </cell>
          <cell r="E9" t="str">
            <v>四川太极高新区民丰大道西段药店</v>
          </cell>
          <cell r="F9" t="str">
            <v>是</v>
          </cell>
          <cell r="G9">
            <v>232</v>
          </cell>
          <cell r="H9" t="str">
            <v>东南片区</v>
          </cell>
          <cell r="I9" t="str">
            <v>贾兰 </v>
          </cell>
          <cell r="J9">
            <v>5619</v>
          </cell>
        </row>
        <row r="10">
          <cell r="D10">
            <v>337</v>
          </cell>
          <cell r="E10" t="str">
            <v>四川太极浆洗街药店</v>
          </cell>
          <cell r="F10" t="str">
            <v>是</v>
          </cell>
          <cell r="G10">
            <v>23</v>
          </cell>
          <cell r="H10" t="str">
            <v>城中片区</v>
          </cell>
          <cell r="I10" t="str">
            <v>何巍 </v>
          </cell>
          <cell r="J10">
            <v>4267</v>
          </cell>
        </row>
        <row r="11">
          <cell r="D11">
            <v>712</v>
          </cell>
          <cell r="E11" t="str">
            <v>四川太极成华区华泰路药店</v>
          </cell>
          <cell r="F11" t="str">
            <v>否</v>
          </cell>
          <cell r="G11">
            <v>232</v>
          </cell>
          <cell r="H11" t="str">
            <v>东南片区</v>
          </cell>
          <cell r="I11" t="str">
            <v>贾兰 </v>
          </cell>
          <cell r="J11">
            <v>5817</v>
          </cell>
        </row>
        <row r="12">
          <cell r="D12">
            <v>365</v>
          </cell>
          <cell r="E12" t="str">
            <v>四川太极光华村街药店</v>
          </cell>
          <cell r="F12" t="str">
            <v>是</v>
          </cell>
          <cell r="G12">
            <v>181</v>
          </cell>
          <cell r="H12" t="str">
            <v>西北片区</v>
          </cell>
          <cell r="I12" t="str">
            <v>刘琴英 </v>
          </cell>
          <cell r="J12">
            <v>4102</v>
          </cell>
        </row>
        <row r="13">
          <cell r="D13">
            <v>387</v>
          </cell>
          <cell r="E13" t="str">
            <v>四川太极新乐中街药店</v>
          </cell>
          <cell r="F13" t="str">
            <v>否</v>
          </cell>
          <cell r="G13">
            <v>232</v>
          </cell>
          <cell r="H13" t="str">
            <v>东南片区</v>
          </cell>
          <cell r="I13" t="str">
            <v>贾兰 </v>
          </cell>
          <cell r="J13">
            <v>5359</v>
          </cell>
        </row>
        <row r="14">
          <cell r="D14">
            <v>585</v>
          </cell>
          <cell r="E14" t="str">
            <v>四川太极成华区羊子山西路药店（兴元华盛）</v>
          </cell>
          <cell r="F14" t="str">
            <v>否</v>
          </cell>
          <cell r="G14">
            <v>181</v>
          </cell>
          <cell r="H14" t="str">
            <v>西北片区</v>
          </cell>
          <cell r="I14" t="str">
            <v>刘琴英 </v>
          </cell>
          <cell r="J14">
            <v>4721</v>
          </cell>
        </row>
        <row r="15">
          <cell r="D15">
            <v>581</v>
          </cell>
          <cell r="E15" t="str">
            <v>四川太极成华区二环路北四段药店（汇融名城）</v>
          </cell>
          <cell r="F15" t="str">
            <v>是</v>
          </cell>
          <cell r="G15">
            <v>181</v>
          </cell>
          <cell r="H15" t="str">
            <v>西北片区</v>
          </cell>
          <cell r="I15" t="str">
            <v>刘琴英 </v>
          </cell>
          <cell r="J15">
            <v>5969</v>
          </cell>
        </row>
        <row r="16">
          <cell r="D16">
            <v>385</v>
          </cell>
          <cell r="E16" t="str">
            <v>四川太极五津西路药店</v>
          </cell>
          <cell r="F16" t="str">
            <v>是</v>
          </cell>
          <cell r="G16">
            <v>235</v>
          </cell>
          <cell r="H16" t="str">
            <v>城郊一片区</v>
          </cell>
          <cell r="I16" t="str">
            <v>周佳玉</v>
          </cell>
          <cell r="J16">
            <v>3717</v>
          </cell>
        </row>
        <row r="17">
          <cell r="D17">
            <v>707</v>
          </cell>
          <cell r="E17" t="str">
            <v>四川太极成华区万科路药店</v>
          </cell>
          <cell r="F17" t="str">
            <v>否</v>
          </cell>
          <cell r="G17">
            <v>232</v>
          </cell>
          <cell r="H17" t="str">
            <v>东南片区</v>
          </cell>
          <cell r="I17" t="str">
            <v>贾兰 </v>
          </cell>
          <cell r="J17">
            <v>4805</v>
          </cell>
        </row>
        <row r="18">
          <cell r="D18">
            <v>730</v>
          </cell>
          <cell r="E18" t="str">
            <v>四川太极新都区新繁镇繁江北路药店</v>
          </cell>
          <cell r="F18" t="str">
            <v>否</v>
          </cell>
          <cell r="G18">
            <v>181</v>
          </cell>
          <cell r="H18" t="str">
            <v>西北片区</v>
          </cell>
          <cell r="I18" t="str">
            <v>刘琴英 </v>
          </cell>
          <cell r="J18">
            <v>4497</v>
          </cell>
        </row>
        <row r="19">
          <cell r="D19">
            <v>546</v>
          </cell>
          <cell r="E19" t="str">
            <v>四川太极锦江区榕声路店</v>
          </cell>
          <cell r="F19" t="str">
            <v>否</v>
          </cell>
          <cell r="G19">
            <v>232</v>
          </cell>
          <cell r="H19" t="str">
            <v>东南片区</v>
          </cell>
          <cell r="I19" t="str">
            <v>贾兰 </v>
          </cell>
          <cell r="J19">
            <v>4791</v>
          </cell>
        </row>
        <row r="20">
          <cell r="D20">
            <v>359</v>
          </cell>
          <cell r="E20" t="str">
            <v>四川太极枣子巷药店</v>
          </cell>
          <cell r="F20" t="str">
            <v>否</v>
          </cell>
          <cell r="G20">
            <v>181</v>
          </cell>
          <cell r="H20" t="str">
            <v>西北片区</v>
          </cell>
          <cell r="I20" t="str">
            <v>刘琴英 </v>
          </cell>
          <cell r="J20">
            <v>4872</v>
          </cell>
        </row>
        <row r="21">
          <cell r="D21">
            <v>373</v>
          </cell>
          <cell r="E21" t="str">
            <v>四川太极通盈街药店</v>
          </cell>
          <cell r="F21" t="str">
            <v>否</v>
          </cell>
          <cell r="G21">
            <v>23</v>
          </cell>
          <cell r="H21" t="str">
            <v>城中片区</v>
          </cell>
          <cell r="I21" t="str">
            <v>何巍 </v>
          </cell>
          <cell r="J21">
            <v>4436</v>
          </cell>
        </row>
        <row r="22">
          <cell r="D22">
            <v>513</v>
          </cell>
          <cell r="E22" t="str">
            <v>四川太极武侯区顺和街店</v>
          </cell>
          <cell r="F22" t="str">
            <v>否</v>
          </cell>
          <cell r="G22">
            <v>181</v>
          </cell>
          <cell r="H22" t="str">
            <v>西北片区</v>
          </cell>
          <cell r="I22" t="str">
            <v>刘琴英 </v>
          </cell>
          <cell r="J22">
            <v>4102</v>
          </cell>
        </row>
        <row r="23">
          <cell r="D23">
            <v>726</v>
          </cell>
          <cell r="E23" t="str">
            <v>四川太极金牛区交大路第三药店</v>
          </cell>
          <cell r="F23" t="str">
            <v>否</v>
          </cell>
          <cell r="G23">
            <v>181</v>
          </cell>
          <cell r="H23" t="str">
            <v>西北片区</v>
          </cell>
          <cell r="I23" t="str">
            <v>刘琴英 </v>
          </cell>
          <cell r="J23">
            <v>3623</v>
          </cell>
        </row>
        <row r="24">
          <cell r="D24">
            <v>102934</v>
          </cell>
          <cell r="E24" t="str">
            <v>四川太极大药房连锁有限公司金牛区银河北街药店</v>
          </cell>
          <cell r="F24" t="str">
            <v/>
          </cell>
          <cell r="G24">
            <v>181</v>
          </cell>
          <cell r="H24" t="str">
            <v>西北片区</v>
          </cell>
          <cell r="I24" t="str">
            <v>刘琴英 </v>
          </cell>
          <cell r="J24">
            <v>4165</v>
          </cell>
        </row>
        <row r="25">
          <cell r="D25">
            <v>308</v>
          </cell>
          <cell r="E25" t="str">
            <v>四川太极红星店</v>
          </cell>
          <cell r="F25" t="str">
            <v>是</v>
          </cell>
          <cell r="G25">
            <v>23</v>
          </cell>
          <cell r="H25" t="str">
            <v>城中片区</v>
          </cell>
          <cell r="I25" t="str">
            <v>何巍 </v>
          </cell>
          <cell r="J25">
            <v>3285</v>
          </cell>
        </row>
        <row r="26">
          <cell r="D26">
            <v>709</v>
          </cell>
          <cell r="E26" t="str">
            <v>四川太极新都区马超东路店</v>
          </cell>
          <cell r="F26" t="str">
            <v>否</v>
          </cell>
          <cell r="G26">
            <v>181</v>
          </cell>
          <cell r="H26" t="str">
            <v>西北片区</v>
          </cell>
          <cell r="I26" t="str">
            <v>刘琴英 </v>
          </cell>
          <cell r="J26">
            <v>4063</v>
          </cell>
        </row>
        <row r="27">
          <cell r="D27">
            <v>742</v>
          </cell>
          <cell r="E27" t="str">
            <v>四川太极锦江区庆云南街药店</v>
          </cell>
          <cell r="F27" t="str">
            <v/>
          </cell>
          <cell r="G27">
            <v>23</v>
          </cell>
          <cell r="H27" t="str">
            <v>城中片区</v>
          </cell>
          <cell r="I27" t="str">
            <v>何巍 </v>
          </cell>
          <cell r="J27">
            <v>2509</v>
          </cell>
        </row>
        <row r="28">
          <cell r="D28">
            <v>724</v>
          </cell>
          <cell r="E28" t="str">
            <v>四川太极锦江区观音桥街药店</v>
          </cell>
          <cell r="F28" t="str">
            <v>否</v>
          </cell>
          <cell r="G28">
            <v>232</v>
          </cell>
          <cell r="H28" t="str">
            <v>东南片区</v>
          </cell>
          <cell r="I28" t="str">
            <v>贾兰 </v>
          </cell>
          <cell r="J28">
            <v>4768</v>
          </cell>
        </row>
        <row r="29">
          <cell r="D29">
            <v>578</v>
          </cell>
          <cell r="E29" t="str">
            <v>四川太极成华区华油路药店</v>
          </cell>
          <cell r="F29" t="str">
            <v>否</v>
          </cell>
          <cell r="G29">
            <v>23</v>
          </cell>
          <cell r="H29" t="str">
            <v>城中片区</v>
          </cell>
          <cell r="I29" t="str">
            <v>何巍 </v>
          </cell>
          <cell r="J29">
            <v>4355</v>
          </cell>
        </row>
        <row r="30">
          <cell r="D30">
            <v>399</v>
          </cell>
          <cell r="E30" t="str">
            <v>四川太极高新天久北巷药店</v>
          </cell>
          <cell r="F30" t="str">
            <v>否</v>
          </cell>
          <cell r="G30">
            <v>232</v>
          </cell>
          <cell r="H30" t="str">
            <v>东南片区</v>
          </cell>
          <cell r="I30" t="str">
            <v>贾兰 </v>
          </cell>
          <cell r="J30">
            <v>3302</v>
          </cell>
        </row>
        <row r="31">
          <cell r="D31">
            <v>355</v>
          </cell>
          <cell r="E31" t="str">
            <v>四川太极双林路药店</v>
          </cell>
          <cell r="F31" t="str">
            <v>是</v>
          </cell>
          <cell r="G31">
            <v>23</v>
          </cell>
          <cell r="H31" t="str">
            <v>城中片区</v>
          </cell>
          <cell r="I31" t="str">
            <v>何巍 </v>
          </cell>
          <cell r="J31">
            <v>3506</v>
          </cell>
        </row>
        <row r="32">
          <cell r="D32">
            <v>514</v>
          </cell>
          <cell r="E32" t="str">
            <v>四川太极新津邓双镇岷江店</v>
          </cell>
          <cell r="F32" t="str">
            <v>否</v>
          </cell>
          <cell r="G32">
            <v>235</v>
          </cell>
          <cell r="H32" t="str">
            <v>城郊一片区</v>
          </cell>
          <cell r="I32" t="str">
            <v>周佳玉</v>
          </cell>
          <cell r="J32">
            <v>4320</v>
          </cell>
        </row>
        <row r="33">
          <cell r="D33">
            <v>744</v>
          </cell>
          <cell r="E33" t="str">
            <v>四川太极武侯区科华街药店</v>
          </cell>
          <cell r="F33" t="str">
            <v/>
          </cell>
          <cell r="G33">
            <v>23</v>
          </cell>
          <cell r="H33" t="str">
            <v>城中片区</v>
          </cell>
          <cell r="I33" t="str">
            <v>何巍 </v>
          </cell>
          <cell r="J33">
            <v>3997</v>
          </cell>
        </row>
        <row r="34">
          <cell r="D34">
            <v>377</v>
          </cell>
          <cell r="E34" t="str">
            <v>四川太极新园大道药店</v>
          </cell>
          <cell r="F34" t="str">
            <v>否</v>
          </cell>
          <cell r="G34">
            <v>232</v>
          </cell>
          <cell r="H34" t="str">
            <v>东南片区</v>
          </cell>
          <cell r="I34" t="str">
            <v>贾兰 </v>
          </cell>
          <cell r="J34">
            <v>4438</v>
          </cell>
        </row>
        <row r="35">
          <cell r="D35">
            <v>329</v>
          </cell>
          <cell r="E35" t="str">
            <v>四川太极温江店</v>
          </cell>
          <cell r="F35" t="str">
            <v>是</v>
          </cell>
          <cell r="G35">
            <v>233</v>
          </cell>
          <cell r="H35" t="str">
            <v>城郊二片区</v>
          </cell>
          <cell r="I35" t="str">
            <v>苗凯</v>
          </cell>
          <cell r="J35">
            <v>2117</v>
          </cell>
        </row>
        <row r="36">
          <cell r="D36">
            <v>379</v>
          </cell>
          <cell r="E36" t="str">
            <v>四川太极土龙路药店</v>
          </cell>
          <cell r="F36" t="str">
            <v>否</v>
          </cell>
          <cell r="G36">
            <v>181</v>
          </cell>
          <cell r="H36" t="str">
            <v>西北片区</v>
          </cell>
          <cell r="I36" t="str">
            <v>刘琴英 </v>
          </cell>
          <cell r="J36">
            <v>3464</v>
          </cell>
        </row>
        <row r="37">
          <cell r="D37">
            <v>357</v>
          </cell>
          <cell r="E37" t="str">
            <v>四川太极清江东路药店</v>
          </cell>
          <cell r="F37" t="str">
            <v>否</v>
          </cell>
          <cell r="G37">
            <v>181</v>
          </cell>
          <cell r="H37" t="str">
            <v>西北片区</v>
          </cell>
          <cell r="I37" t="str">
            <v>刘琴英 </v>
          </cell>
          <cell r="J37">
            <v>2764</v>
          </cell>
        </row>
        <row r="38">
          <cell r="D38">
            <v>349</v>
          </cell>
          <cell r="E38" t="str">
            <v>四川太极人民中路店</v>
          </cell>
          <cell r="F38" t="str">
            <v>否</v>
          </cell>
          <cell r="G38">
            <v>23</v>
          </cell>
          <cell r="H38" t="str">
            <v>城中片区</v>
          </cell>
          <cell r="I38" t="str">
            <v>何巍 </v>
          </cell>
          <cell r="J38">
            <v>3175</v>
          </cell>
        </row>
        <row r="39">
          <cell r="D39">
            <v>754</v>
          </cell>
          <cell r="E39" t="str">
            <v>四川太极崇州市崇阳镇尚贤坊街药店</v>
          </cell>
          <cell r="F39" t="str">
            <v/>
          </cell>
          <cell r="G39">
            <v>233</v>
          </cell>
          <cell r="H39" t="str">
            <v>城郊二片区</v>
          </cell>
          <cell r="I39" t="str">
            <v>苗凯</v>
          </cell>
          <cell r="J39">
            <v>3332</v>
          </cell>
        </row>
        <row r="40">
          <cell r="D40">
            <v>515</v>
          </cell>
          <cell r="E40" t="str">
            <v>四川太极成华区崔家店路药店</v>
          </cell>
          <cell r="F40" t="str">
            <v>否</v>
          </cell>
          <cell r="G40">
            <v>23</v>
          </cell>
          <cell r="H40" t="str">
            <v>城中片区</v>
          </cell>
          <cell r="I40" t="str">
            <v>何巍 </v>
          </cell>
          <cell r="J40">
            <v>3400</v>
          </cell>
        </row>
        <row r="41">
          <cell r="D41">
            <v>746</v>
          </cell>
          <cell r="E41" t="str">
            <v>四川太极大邑县晋原镇内蒙古大道桃源药店</v>
          </cell>
          <cell r="F41" t="str">
            <v>否</v>
          </cell>
          <cell r="G41">
            <v>235</v>
          </cell>
          <cell r="H41" t="str">
            <v>城郊一片区</v>
          </cell>
          <cell r="I41" t="str">
            <v>周佳玉</v>
          </cell>
          <cell r="J41">
            <v>3653</v>
          </cell>
        </row>
        <row r="42">
          <cell r="D42">
            <v>351</v>
          </cell>
          <cell r="E42" t="str">
            <v>四川太极都江堰药店</v>
          </cell>
          <cell r="F42" t="str">
            <v>是</v>
          </cell>
          <cell r="G42">
            <v>233</v>
          </cell>
          <cell r="H42" t="str">
            <v>城郊二片区</v>
          </cell>
          <cell r="I42" t="str">
            <v>苗凯</v>
          </cell>
          <cell r="J42">
            <v>2006</v>
          </cell>
        </row>
        <row r="43">
          <cell r="D43">
            <v>747</v>
          </cell>
          <cell r="E43" t="str">
            <v>四川太极郫县郫筒镇一环路东南段药店</v>
          </cell>
          <cell r="F43" t="str">
            <v/>
          </cell>
          <cell r="G43">
            <v>23</v>
          </cell>
          <cell r="H43" t="str">
            <v>城中片区</v>
          </cell>
          <cell r="I43" t="str">
            <v>何巍 </v>
          </cell>
          <cell r="J43">
            <v>2374</v>
          </cell>
        </row>
        <row r="44">
          <cell r="D44">
            <v>704</v>
          </cell>
          <cell r="E44" t="str">
            <v>四川太极都江堰奎光路中段药店</v>
          </cell>
          <cell r="F44" t="str">
            <v>否</v>
          </cell>
          <cell r="G44">
            <v>233</v>
          </cell>
          <cell r="H44" t="str">
            <v>城郊二片区</v>
          </cell>
          <cell r="I44" t="str">
            <v>苗凯</v>
          </cell>
          <cell r="J44">
            <v>2123</v>
          </cell>
        </row>
        <row r="45">
          <cell r="D45">
            <v>511</v>
          </cell>
          <cell r="E45" t="str">
            <v>四川太极成华杉板桥南一路店</v>
          </cell>
          <cell r="F45" t="str">
            <v>否</v>
          </cell>
          <cell r="G45">
            <v>23</v>
          </cell>
          <cell r="H45" t="str">
            <v>城中片区</v>
          </cell>
          <cell r="I45" t="str">
            <v>何巍 </v>
          </cell>
          <cell r="J45">
            <v>3736</v>
          </cell>
        </row>
        <row r="46">
          <cell r="D46">
            <v>367</v>
          </cell>
          <cell r="E46" t="str">
            <v>四川太极金带街药店</v>
          </cell>
          <cell r="F46" t="str">
            <v>否</v>
          </cell>
          <cell r="G46">
            <v>233</v>
          </cell>
          <cell r="H46" t="str">
            <v>城郊二片区</v>
          </cell>
          <cell r="I46" t="str">
            <v>苗凯</v>
          </cell>
          <cell r="J46">
            <v>2951</v>
          </cell>
        </row>
        <row r="47">
          <cell r="D47">
            <v>598</v>
          </cell>
          <cell r="E47" t="str">
            <v>四川太极锦江区水杉街药店</v>
          </cell>
          <cell r="F47" t="str">
            <v>否</v>
          </cell>
          <cell r="G47">
            <v>232</v>
          </cell>
          <cell r="H47" t="str">
            <v>东南片区</v>
          </cell>
          <cell r="I47" t="str">
            <v>贾兰 </v>
          </cell>
          <cell r="J47">
            <v>3323</v>
          </cell>
        </row>
        <row r="48">
          <cell r="D48">
            <v>52</v>
          </cell>
          <cell r="E48" t="str">
            <v>四川太极崇州中心店</v>
          </cell>
          <cell r="F48" t="str">
            <v>是</v>
          </cell>
          <cell r="G48">
            <v>233</v>
          </cell>
          <cell r="H48" t="str">
            <v>城郊二片区</v>
          </cell>
          <cell r="I48" t="str">
            <v>苗凯</v>
          </cell>
          <cell r="J48">
            <v>2672</v>
          </cell>
        </row>
        <row r="49">
          <cell r="D49">
            <v>103198</v>
          </cell>
          <cell r="E49" t="str">
            <v>四川太极大药房连锁有限公司青羊区贝森北路药店</v>
          </cell>
          <cell r="F49" t="str">
            <v/>
          </cell>
          <cell r="G49">
            <v>181</v>
          </cell>
          <cell r="H49" t="str">
            <v>西北片区</v>
          </cell>
          <cell r="I49" t="str">
            <v>刘琴英 </v>
          </cell>
          <cell r="J49">
            <v>3050</v>
          </cell>
        </row>
        <row r="50">
          <cell r="D50">
            <v>584</v>
          </cell>
          <cell r="E50" t="str">
            <v>四川太极高新区中和街道柳荫街药店</v>
          </cell>
          <cell r="F50" t="str">
            <v>否</v>
          </cell>
          <cell r="G50">
            <v>232</v>
          </cell>
          <cell r="H50" t="str">
            <v>东南片区</v>
          </cell>
          <cell r="I50" t="str">
            <v>贾兰 </v>
          </cell>
          <cell r="J50">
            <v>2846</v>
          </cell>
        </row>
        <row r="51">
          <cell r="D51">
            <v>572</v>
          </cell>
          <cell r="E51" t="str">
            <v>四川太极郫县郫筒镇东大街药店</v>
          </cell>
          <cell r="F51" t="str">
            <v>否</v>
          </cell>
          <cell r="G51">
            <v>23</v>
          </cell>
          <cell r="H51" t="str">
            <v>城中片区</v>
          </cell>
          <cell r="I51" t="str">
            <v>何巍 </v>
          </cell>
          <cell r="J51">
            <v>2493</v>
          </cell>
        </row>
        <row r="52">
          <cell r="D52">
            <v>101453</v>
          </cell>
          <cell r="E52" t="str">
            <v>四川太极温江区公平街道江安路药店</v>
          </cell>
          <cell r="F52" t="str">
            <v/>
          </cell>
          <cell r="G52">
            <v>233</v>
          </cell>
          <cell r="H52" t="str">
            <v>城郊二片区</v>
          </cell>
          <cell r="I52" t="str">
            <v>苗凯</v>
          </cell>
          <cell r="J52">
            <v>2989</v>
          </cell>
        </row>
        <row r="53">
          <cell r="D53">
            <v>737</v>
          </cell>
          <cell r="E53" t="str">
            <v>四川太极高新区大源北街药店</v>
          </cell>
          <cell r="F53" t="str">
            <v>否</v>
          </cell>
          <cell r="G53">
            <v>232</v>
          </cell>
          <cell r="H53" t="str">
            <v>东南片区</v>
          </cell>
          <cell r="I53" t="str">
            <v>贾兰 </v>
          </cell>
          <cell r="J53">
            <v>3485</v>
          </cell>
        </row>
        <row r="54">
          <cell r="D54">
            <v>311</v>
          </cell>
          <cell r="E54" t="str">
            <v>四川太极西部店</v>
          </cell>
          <cell r="F54" t="str">
            <v>是</v>
          </cell>
          <cell r="G54">
            <v>181</v>
          </cell>
          <cell r="H54" t="str">
            <v>西北片区</v>
          </cell>
          <cell r="I54" t="str">
            <v>刘琴英 </v>
          </cell>
          <cell r="J54">
            <v>1317</v>
          </cell>
        </row>
        <row r="55">
          <cell r="D55">
            <v>587</v>
          </cell>
          <cell r="E55" t="str">
            <v>四川太极都江堰景中路店</v>
          </cell>
          <cell r="F55" t="str">
            <v>否</v>
          </cell>
          <cell r="G55">
            <v>233</v>
          </cell>
          <cell r="H55" t="str">
            <v>城郊二片区</v>
          </cell>
          <cell r="I55" t="str">
            <v>苗凯</v>
          </cell>
          <cell r="J55">
            <v>2178</v>
          </cell>
        </row>
        <row r="56">
          <cell r="D56">
            <v>745</v>
          </cell>
          <cell r="E56" t="str">
            <v>四川太极金牛区金沙路药店</v>
          </cell>
          <cell r="F56" t="str">
            <v/>
          </cell>
          <cell r="G56">
            <v>181</v>
          </cell>
          <cell r="H56" t="str">
            <v>西北片区</v>
          </cell>
          <cell r="I56" t="str">
            <v>刘琴英 </v>
          </cell>
          <cell r="J56">
            <v>2612</v>
          </cell>
        </row>
        <row r="57">
          <cell r="D57">
            <v>347</v>
          </cell>
          <cell r="E57" t="str">
            <v>四川太极清江东路2药店</v>
          </cell>
          <cell r="F57" t="str">
            <v>是</v>
          </cell>
          <cell r="G57">
            <v>181</v>
          </cell>
          <cell r="H57" t="str">
            <v>西北片区</v>
          </cell>
          <cell r="I57" t="str">
            <v>刘琴英 </v>
          </cell>
          <cell r="J57">
            <v>2654</v>
          </cell>
        </row>
        <row r="58">
          <cell r="D58">
            <v>721</v>
          </cell>
          <cell r="E58" t="str">
            <v>四川太极邛崃市临邛镇洪川小区药店</v>
          </cell>
          <cell r="F58" t="str">
            <v>否</v>
          </cell>
          <cell r="G58">
            <v>235</v>
          </cell>
          <cell r="H58" t="str">
            <v>城郊一片区</v>
          </cell>
          <cell r="I58" t="str">
            <v>周佳玉</v>
          </cell>
          <cell r="J58">
            <v>2820</v>
          </cell>
        </row>
        <row r="59">
          <cell r="D59">
            <v>54</v>
          </cell>
          <cell r="E59" t="str">
            <v>四川太极怀远店</v>
          </cell>
          <cell r="F59" t="str">
            <v>是</v>
          </cell>
          <cell r="G59">
            <v>233</v>
          </cell>
          <cell r="H59" t="str">
            <v>城郊二片区</v>
          </cell>
          <cell r="I59" t="str">
            <v>苗凯</v>
          </cell>
          <cell r="J59">
            <v>1972</v>
          </cell>
        </row>
        <row r="60">
          <cell r="D60">
            <v>573</v>
          </cell>
          <cell r="E60" t="str">
            <v>四川太极双流县西航港街道锦华路一段药店</v>
          </cell>
          <cell r="F60" t="str">
            <v>否</v>
          </cell>
          <cell r="G60">
            <v>232</v>
          </cell>
          <cell r="H60" t="str">
            <v>东南片区</v>
          </cell>
          <cell r="I60" t="str">
            <v>贾兰 </v>
          </cell>
          <cell r="J60">
            <v>2894</v>
          </cell>
        </row>
        <row r="61">
          <cell r="D61">
            <v>570</v>
          </cell>
          <cell r="E61" t="str">
            <v>四川太极青羊区浣花滨河路药店</v>
          </cell>
          <cell r="F61" t="str">
            <v>否</v>
          </cell>
          <cell r="G61">
            <v>181</v>
          </cell>
          <cell r="H61" t="str">
            <v>西北片区</v>
          </cell>
          <cell r="I61" t="str">
            <v>刘琴英 </v>
          </cell>
          <cell r="J61">
            <v>2883</v>
          </cell>
        </row>
        <row r="62">
          <cell r="D62">
            <v>743</v>
          </cell>
          <cell r="E62" t="str">
            <v>四川太极成华区万宇路药店</v>
          </cell>
          <cell r="F62" t="str">
            <v/>
          </cell>
          <cell r="G62">
            <v>232</v>
          </cell>
          <cell r="H62" t="str">
            <v>东南片区</v>
          </cell>
          <cell r="I62" t="str">
            <v>贾兰 </v>
          </cell>
          <cell r="J62">
            <v>2973</v>
          </cell>
        </row>
        <row r="63">
          <cell r="D63">
            <v>102565</v>
          </cell>
          <cell r="E63" t="str">
            <v>四川太极武侯区佳灵路药店</v>
          </cell>
          <cell r="F63" t="str">
            <v/>
          </cell>
          <cell r="G63">
            <v>181</v>
          </cell>
          <cell r="H63" t="str">
            <v>西北片区</v>
          </cell>
          <cell r="I63" t="str">
            <v>刘琴英 </v>
          </cell>
          <cell r="J63">
            <v>3293</v>
          </cell>
        </row>
        <row r="64">
          <cell r="D64">
            <v>748</v>
          </cell>
          <cell r="E64" t="str">
            <v>四川太极大邑县晋原镇东街药店</v>
          </cell>
          <cell r="F64" t="str">
            <v/>
          </cell>
          <cell r="G64">
            <v>235</v>
          </cell>
          <cell r="H64" t="str">
            <v>城郊一片区</v>
          </cell>
          <cell r="I64" t="str">
            <v>周佳玉</v>
          </cell>
          <cell r="J64">
            <v>2179</v>
          </cell>
        </row>
        <row r="65">
          <cell r="D65">
            <v>102935</v>
          </cell>
          <cell r="E65" t="str">
            <v>四川太极大药房连锁有限公司青羊区童子街药店</v>
          </cell>
          <cell r="F65" t="str">
            <v/>
          </cell>
          <cell r="G65">
            <v>23</v>
          </cell>
          <cell r="H65" t="str">
            <v>城中片区</v>
          </cell>
          <cell r="I65" t="str">
            <v>何巍 </v>
          </cell>
          <cell r="J65">
            <v>2587</v>
          </cell>
        </row>
        <row r="66">
          <cell r="D66">
            <v>102479</v>
          </cell>
          <cell r="E66" t="str">
            <v>四川太极锦江区劼人路药店</v>
          </cell>
          <cell r="F66" t="str">
            <v/>
          </cell>
          <cell r="G66">
            <v>23</v>
          </cell>
          <cell r="H66" t="str">
            <v>城中片区</v>
          </cell>
          <cell r="I66" t="str">
            <v>何巍 </v>
          </cell>
          <cell r="J66">
            <v>3069</v>
          </cell>
        </row>
        <row r="67">
          <cell r="D67">
            <v>549</v>
          </cell>
          <cell r="E67" t="str">
            <v>四川太极大邑县晋源镇东壕沟段药店</v>
          </cell>
          <cell r="F67" t="str">
            <v>否</v>
          </cell>
          <cell r="G67">
            <v>235</v>
          </cell>
          <cell r="H67" t="str">
            <v>城郊一片区</v>
          </cell>
          <cell r="I67" t="str">
            <v>周佳玉</v>
          </cell>
          <cell r="J67">
            <v>1993</v>
          </cell>
        </row>
        <row r="68">
          <cell r="D68">
            <v>716</v>
          </cell>
          <cell r="E68" t="str">
            <v>四川太极大邑县沙渠镇方圆路药店</v>
          </cell>
          <cell r="F68" t="str">
            <v>否</v>
          </cell>
          <cell r="G68">
            <v>235</v>
          </cell>
          <cell r="H68" t="str">
            <v>城郊一片区</v>
          </cell>
          <cell r="I68" t="str">
            <v>周佳玉</v>
          </cell>
          <cell r="J68">
            <v>2377</v>
          </cell>
        </row>
        <row r="69">
          <cell r="D69">
            <v>727</v>
          </cell>
          <cell r="E69" t="str">
            <v>四川太极金牛区黄苑东街药店</v>
          </cell>
          <cell r="F69" t="str">
            <v>否</v>
          </cell>
          <cell r="G69">
            <v>181</v>
          </cell>
          <cell r="H69" t="str">
            <v>西北片区</v>
          </cell>
          <cell r="I69" t="str">
            <v>刘琴英 </v>
          </cell>
          <cell r="J69">
            <v>2182</v>
          </cell>
        </row>
        <row r="70">
          <cell r="D70">
            <v>539</v>
          </cell>
          <cell r="E70" t="str">
            <v>四川太极大邑县晋原镇子龙路店</v>
          </cell>
          <cell r="F70" t="str">
            <v>否</v>
          </cell>
          <cell r="G70">
            <v>235</v>
          </cell>
          <cell r="H70" t="str">
            <v>城郊一片区</v>
          </cell>
          <cell r="I70" t="str">
            <v>周佳玉</v>
          </cell>
          <cell r="J70">
            <v>1952</v>
          </cell>
        </row>
        <row r="71">
          <cell r="D71">
            <v>339</v>
          </cell>
          <cell r="E71" t="str">
            <v>四川太极沙河源药店</v>
          </cell>
          <cell r="F71" t="str">
            <v>是</v>
          </cell>
          <cell r="G71">
            <v>181</v>
          </cell>
          <cell r="H71" t="str">
            <v>西北片区</v>
          </cell>
          <cell r="I71" t="str">
            <v>刘琴英 </v>
          </cell>
          <cell r="J71">
            <v>1918</v>
          </cell>
        </row>
        <row r="72">
          <cell r="D72">
            <v>717</v>
          </cell>
          <cell r="E72" t="str">
            <v>四川太极大邑县晋原镇通达东路五段药店</v>
          </cell>
          <cell r="F72" t="str">
            <v>否</v>
          </cell>
          <cell r="G72">
            <v>235</v>
          </cell>
          <cell r="H72" t="str">
            <v>城郊一片区</v>
          </cell>
          <cell r="I72" t="str">
            <v>周佳玉</v>
          </cell>
          <cell r="J72">
            <v>2318</v>
          </cell>
        </row>
        <row r="73">
          <cell r="D73">
            <v>733</v>
          </cell>
          <cell r="E73" t="str">
            <v>四川太极双流区东升街道三强西路药店</v>
          </cell>
          <cell r="F73" t="str">
            <v>否</v>
          </cell>
          <cell r="G73">
            <v>232</v>
          </cell>
          <cell r="H73" t="str">
            <v>东南片区</v>
          </cell>
          <cell r="I73" t="str">
            <v>贾兰 </v>
          </cell>
          <cell r="J73">
            <v>2111</v>
          </cell>
        </row>
        <row r="74">
          <cell r="D74">
            <v>594</v>
          </cell>
          <cell r="E74" t="str">
            <v>四川太极大邑县安仁镇千禧街药店</v>
          </cell>
          <cell r="F74" t="str">
            <v>否</v>
          </cell>
          <cell r="G74">
            <v>235</v>
          </cell>
          <cell r="H74" t="str">
            <v>城郊一片区</v>
          </cell>
          <cell r="I74" t="str">
            <v>周佳玉</v>
          </cell>
          <cell r="J74">
            <v>1850</v>
          </cell>
        </row>
        <row r="75">
          <cell r="D75">
            <v>738</v>
          </cell>
          <cell r="E75" t="str">
            <v>四川太极都江堰市蒲阳路药店</v>
          </cell>
          <cell r="F75" t="str">
            <v>否</v>
          </cell>
          <cell r="G75">
            <v>233</v>
          </cell>
          <cell r="H75" t="str">
            <v>城郊二片区</v>
          </cell>
          <cell r="I75" t="str">
            <v>苗凯</v>
          </cell>
          <cell r="J75">
            <v>1716</v>
          </cell>
        </row>
        <row r="76">
          <cell r="D76">
            <v>752</v>
          </cell>
          <cell r="E76" t="str">
            <v>四川太极大药房连锁有限公司武侯区聚萃街药店</v>
          </cell>
          <cell r="F76" t="str">
            <v/>
          </cell>
          <cell r="G76">
            <v>181</v>
          </cell>
          <cell r="H76" t="str">
            <v>西北片区</v>
          </cell>
          <cell r="I76" t="str">
            <v>刘琴英 </v>
          </cell>
          <cell r="J76">
            <v>2112</v>
          </cell>
        </row>
        <row r="77">
          <cell r="D77">
            <v>723</v>
          </cell>
          <cell r="E77" t="str">
            <v>四川太极锦江区柳翠路药店</v>
          </cell>
          <cell r="F77" t="str">
            <v>否</v>
          </cell>
          <cell r="G77">
            <v>23</v>
          </cell>
          <cell r="H77" t="str">
            <v>城中片区</v>
          </cell>
          <cell r="I77" t="str">
            <v>何巍 </v>
          </cell>
          <cell r="J77">
            <v>2348</v>
          </cell>
        </row>
        <row r="78">
          <cell r="D78">
            <v>591</v>
          </cell>
          <cell r="E78" t="str">
            <v>四川太极邛崃市临邛镇长安大道药店</v>
          </cell>
          <cell r="F78" t="str">
            <v>否</v>
          </cell>
          <cell r="G78">
            <v>235</v>
          </cell>
          <cell r="H78" t="str">
            <v>城郊一片区</v>
          </cell>
          <cell r="I78" t="str">
            <v>周佳玉</v>
          </cell>
          <cell r="J78">
            <v>2127</v>
          </cell>
        </row>
        <row r="79">
          <cell r="D79">
            <v>740</v>
          </cell>
          <cell r="E79" t="str">
            <v>四川太极成华区华康路药店</v>
          </cell>
          <cell r="F79" t="str">
            <v/>
          </cell>
          <cell r="G79">
            <v>232</v>
          </cell>
          <cell r="H79" t="str">
            <v>东南片区</v>
          </cell>
          <cell r="I79" t="str">
            <v>贾兰 </v>
          </cell>
          <cell r="J79">
            <v>2077</v>
          </cell>
        </row>
        <row r="80">
          <cell r="D80">
            <v>56</v>
          </cell>
          <cell r="E80" t="str">
            <v>四川太极三江店</v>
          </cell>
          <cell r="F80" t="str">
            <v>是</v>
          </cell>
          <cell r="G80">
            <v>233</v>
          </cell>
          <cell r="H80" t="str">
            <v>城郊二片区</v>
          </cell>
          <cell r="I80" t="str">
            <v>苗凯</v>
          </cell>
          <cell r="J80">
            <v>1491</v>
          </cell>
        </row>
        <row r="81">
          <cell r="D81">
            <v>103199</v>
          </cell>
          <cell r="E81" t="str">
            <v>四川太极大药房连锁有限公司成华区西林一街药店</v>
          </cell>
          <cell r="F81" t="str">
            <v/>
          </cell>
          <cell r="G81">
            <v>181</v>
          </cell>
          <cell r="H81" t="str">
            <v>西北片区</v>
          </cell>
          <cell r="I81" t="str">
            <v>刘琴英 </v>
          </cell>
          <cell r="J81">
            <v>2295</v>
          </cell>
        </row>
        <row r="82">
          <cell r="D82">
            <v>103639</v>
          </cell>
          <cell r="E82" t="str">
            <v>四川太极成华区金马河路药店</v>
          </cell>
          <cell r="F82" t="str">
            <v/>
          </cell>
          <cell r="G82">
            <v>232</v>
          </cell>
          <cell r="H82" t="str">
            <v>东南片区</v>
          </cell>
          <cell r="I82" t="str">
            <v>贾兰 </v>
          </cell>
          <cell r="J82">
            <v>2117</v>
          </cell>
        </row>
        <row r="83">
          <cell r="D83">
            <v>720</v>
          </cell>
          <cell r="E83" t="str">
            <v>四川太极大邑县新场镇文昌街药店</v>
          </cell>
          <cell r="F83" t="str">
            <v>否</v>
          </cell>
          <cell r="G83">
            <v>235</v>
          </cell>
          <cell r="H83" t="str">
            <v>城郊一片区</v>
          </cell>
          <cell r="I83" t="str">
            <v>周佳玉</v>
          </cell>
          <cell r="J83">
            <v>1698</v>
          </cell>
        </row>
        <row r="84">
          <cell r="D84">
            <v>710</v>
          </cell>
          <cell r="E84" t="str">
            <v>四川太极都江堰市蒲阳镇堰问道西路药店</v>
          </cell>
          <cell r="F84" t="str">
            <v>否</v>
          </cell>
          <cell r="G84">
            <v>233</v>
          </cell>
          <cell r="H84" t="str">
            <v>城郊二片区</v>
          </cell>
          <cell r="I84" t="str">
            <v>苗凯</v>
          </cell>
          <cell r="J84">
            <v>1833</v>
          </cell>
        </row>
        <row r="85">
          <cell r="D85">
            <v>732</v>
          </cell>
          <cell r="E85" t="str">
            <v>四川太极邛崃市羊安镇永康大道药店</v>
          </cell>
          <cell r="F85" t="str">
            <v>否</v>
          </cell>
          <cell r="G85">
            <v>235</v>
          </cell>
          <cell r="H85" t="str">
            <v>城郊一片区</v>
          </cell>
          <cell r="I85" t="str">
            <v>周佳玉</v>
          </cell>
          <cell r="J85">
            <v>1481</v>
          </cell>
        </row>
        <row r="86">
          <cell r="D86">
            <v>718</v>
          </cell>
          <cell r="E86" t="str">
            <v>四川太极龙泉驿区龙泉街道驿生路药店</v>
          </cell>
          <cell r="F86" t="str">
            <v>否</v>
          </cell>
          <cell r="G86">
            <v>23</v>
          </cell>
          <cell r="H86" t="str">
            <v>城中片区</v>
          </cell>
          <cell r="I86" t="str">
            <v>何巍 </v>
          </cell>
          <cell r="J86">
            <v>1378</v>
          </cell>
        </row>
        <row r="87">
          <cell r="D87">
            <v>545</v>
          </cell>
          <cell r="E87" t="str">
            <v>四川太极龙潭西路店</v>
          </cell>
          <cell r="F87" t="str">
            <v>是</v>
          </cell>
          <cell r="G87">
            <v>232</v>
          </cell>
          <cell r="H87" t="str">
            <v>东南片区</v>
          </cell>
          <cell r="I87" t="str">
            <v>贾兰 </v>
          </cell>
          <cell r="J87">
            <v>1836</v>
          </cell>
        </row>
        <row r="88">
          <cell r="D88">
            <v>753</v>
          </cell>
          <cell r="E88" t="str">
            <v>四川太极锦江区合欢树街药店</v>
          </cell>
          <cell r="F88" t="str">
            <v/>
          </cell>
          <cell r="G88">
            <v>232</v>
          </cell>
          <cell r="H88" t="str">
            <v>东南片区</v>
          </cell>
          <cell r="I88" t="str">
            <v>贾兰 </v>
          </cell>
          <cell r="J88">
            <v>1551</v>
          </cell>
        </row>
        <row r="89">
          <cell r="D89">
            <v>391</v>
          </cell>
          <cell r="E89" t="str">
            <v>四川太极金丝街药店</v>
          </cell>
          <cell r="F89" t="str">
            <v>否</v>
          </cell>
          <cell r="G89">
            <v>23</v>
          </cell>
          <cell r="H89" t="str">
            <v>城中片区</v>
          </cell>
          <cell r="I89" t="str">
            <v>何巍 </v>
          </cell>
          <cell r="J89">
            <v>1149</v>
          </cell>
        </row>
        <row r="90">
          <cell r="D90">
            <v>104428</v>
          </cell>
          <cell r="E90" t="str">
            <v>四川太极崇州市崇阳镇永康东路药店 </v>
          </cell>
          <cell r="F90" t="str">
            <v/>
          </cell>
          <cell r="G90">
            <v>233</v>
          </cell>
          <cell r="H90" t="str">
            <v>城郊二片区</v>
          </cell>
          <cell r="I90" t="str">
            <v>苗凯</v>
          </cell>
          <cell r="J90">
            <v>1383</v>
          </cell>
        </row>
        <row r="91">
          <cell r="D91">
            <v>102567</v>
          </cell>
          <cell r="E91" t="str">
            <v>四川太极新津县五津镇武阳西路药店</v>
          </cell>
          <cell r="F91" t="str">
            <v/>
          </cell>
          <cell r="G91">
            <v>235</v>
          </cell>
          <cell r="H91" t="str">
            <v>城郊一片区</v>
          </cell>
          <cell r="I91" t="str">
            <v>周佳玉</v>
          </cell>
          <cell r="J91">
            <v>1480</v>
          </cell>
        </row>
        <row r="92">
          <cell r="D92">
            <v>371</v>
          </cell>
          <cell r="E92" t="str">
            <v>四川太极兴义镇万兴路药店</v>
          </cell>
          <cell r="F92" t="str">
            <v>否</v>
          </cell>
          <cell r="G92">
            <v>235</v>
          </cell>
          <cell r="H92" t="str">
            <v>城郊一片区</v>
          </cell>
          <cell r="I92" t="str">
            <v>周佳玉</v>
          </cell>
          <cell r="J92">
            <v>1907</v>
          </cell>
        </row>
        <row r="93">
          <cell r="D93">
            <v>104429</v>
          </cell>
          <cell r="E93" t="str">
            <v>四川太极武侯区大华街药店</v>
          </cell>
          <cell r="F93" t="str">
            <v/>
          </cell>
          <cell r="G93">
            <v>181</v>
          </cell>
          <cell r="H93" t="str">
            <v>西北片区</v>
          </cell>
          <cell r="I93" t="str">
            <v>刘琴英 </v>
          </cell>
          <cell r="J93">
            <v>1010</v>
          </cell>
        </row>
        <row r="94">
          <cell r="D94">
            <v>102478</v>
          </cell>
          <cell r="E94" t="str">
            <v>四川太极锦江区静明路药店</v>
          </cell>
          <cell r="F94" t="str">
            <v/>
          </cell>
          <cell r="G94">
            <v>23</v>
          </cell>
          <cell r="H94" t="str">
            <v>城中片区</v>
          </cell>
          <cell r="I94" t="str">
            <v>何巍 </v>
          </cell>
          <cell r="J94">
            <v>1343</v>
          </cell>
        </row>
        <row r="95">
          <cell r="D95">
            <v>713</v>
          </cell>
          <cell r="E95" t="str">
            <v>四川太极都江堰聚源镇药店</v>
          </cell>
          <cell r="F95" t="str">
            <v>否</v>
          </cell>
          <cell r="G95">
            <v>233</v>
          </cell>
          <cell r="H95" t="str">
            <v>城郊二片区</v>
          </cell>
          <cell r="I95" t="str">
            <v>苗凯</v>
          </cell>
          <cell r="J95">
            <v>1120</v>
          </cell>
        </row>
        <row r="96">
          <cell r="D96">
            <v>102564</v>
          </cell>
          <cell r="E96" t="str">
            <v>四川太极邛崃市临邛镇翠荫街药店</v>
          </cell>
          <cell r="F96" t="str">
            <v/>
          </cell>
          <cell r="G96">
            <v>235</v>
          </cell>
          <cell r="H96" t="str">
            <v>城郊一片区</v>
          </cell>
          <cell r="I96" t="str">
            <v>周佳玉</v>
          </cell>
          <cell r="J96">
            <v>1416</v>
          </cell>
        </row>
        <row r="97">
          <cell r="D97">
            <v>741</v>
          </cell>
          <cell r="E97" t="str">
            <v>四川太极成华区新怡路店</v>
          </cell>
          <cell r="F97" t="str">
            <v/>
          </cell>
          <cell r="G97">
            <v>181</v>
          </cell>
          <cell r="H97" t="str">
            <v>西北片区</v>
          </cell>
          <cell r="I97" t="str">
            <v>刘琴英 </v>
          </cell>
          <cell r="J97">
            <v>1254</v>
          </cell>
        </row>
        <row r="98">
          <cell r="D98">
            <v>755</v>
          </cell>
          <cell r="E98" t="str">
            <v>四川太极温江区柳城街道鱼凫路药店</v>
          </cell>
          <cell r="F98" t="str">
            <v/>
          </cell>
          <cell r="G98">
            <v>233</v>
          </cell>
          <cell r="H98" t="str">
            <v>城郊二片区</v>
          </cell>
          <cell r="I98" t="str">
            <v>苗凯</v>
          </cell>
          <cell r="J98">
            <v>1169</v>
          </cell>
        </row>
        <row r="99">
          <cell r="D99">
            <v>104430</v>
          </cell>
          <cell r="E99" t="str">
            <v>四川太极高新区中和大道药店</v>
          </cell>
          <cell r="F99" t="str">
            <v/>
          </cell>
          <cell r="G99">
            <v>232</v>
          </cell>
          <cell r="H99" t="str">
            <v>东南片区</v>
          </cell>
          <cell r="I99" t="str">
            <v>贾兰 </v>
          </cell>
          <cell r="J99">
            <v>1146</v>
          </cell>
        </row>
        <row r="100">
          <cell r="D100">
            <v>104838</v>
          </cell>
          <cell r="E100" t="str">
            <v>四川太极崇州市崇阳镇蜀州中路药店</v>
          </cell>
          <cell r="F100" t="str">
            <v/>
          </cell>
          <cell r="G100">
            <v>233</v>
          </cell>
          <cell r="H100" t="str">
            <v>城郊二片区</v>
          </cell>
          <cell r="I100" t="str">
            <v>苗凯</v>
          </cell>
          <cell r="J100">
            <v>1042</v>
          </cell>
        </row>
        <row r="101">
          <cell r="D101">
            <v>104533</v>
          </cell>
          <cell r="E101" t="str">
            <v>四川太极大邑县晋原镇潘家街药店</v>
          </cell>
          <cell r="F101" t="str">
            <v/>
          </cell>
          <cell r="G101">
            <v>235</v>
          </cell>
          <cell r="H101" t="str">
            <v>城郊一片区</v>
          </cell>
          <cell r="I101" t="str">
            <v>周佳玉</v>
          </cell>
          <cell r="J101">
            <v>942</v>
          </cell>
        </row>
        <row r="102">
          <cell r="D102">
            <v>706</v>
          </cell>
          <cell r="E102" t="str">
            <v>四川太极都江堰幸福镇翔凤路药店</v>
          </cell>
          <cell r="F102" t="str">
            <v>否</v>
          </cell>
          <cell r="G102">
            <v>233</v>
          </cell>
          <cell r="H102" t="str">
            <v>城郊二片区</v>
          </cell>
          <cell r="I102" t="str">
            <v>苗凯</v>
          </cell>
          <cell r="J102">
            <v>559</v>
          </cell>
        </row>
        <row r="103">
          <cell r="D103">
            <v>345</v>
          </cell>
          <cell r="E103" t="str">
            <v>四川太极交大药店</v>
          </cell>
          <cell r="F103" t="str">
            <v>否</v>
          </cell>
          <cell r="G103">
            <v>261</v>
          </cell>
          <cell r="H103" t="str">
            <v>团购片</v>
          </cell>
          <cell r="I103" t="str">
            <v>王灵 </v>
          </cell>
          <cell r="J103">
            <v>12</v>
          </cell>
        </row>
        <row r="104">
          <cell r="D104" t="str">
            <v>合计</v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J104">
            <v>314686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会员资料（原表）"/>
      <sheetName val="Sheet1"/>
      <sheetName val="Sheet2"/>
      <sheetName val="有效会员"/>
      <sheetName val="Sheet5"/>
      <sheetName val="信息错误（无效会员）"/>
    </sheetNames>
    <sheetDataSet>
      <sheetData sheetId="0"/>
      <sheetData sheetId="1"/>
      <sheetData sheetId="2">
        <row r="1">
          <cell r="I1" t="str">
            <v>门店ID</v>
          </cell>
          <cell r="J1" t="str">
            <v>汇总</v>
          </cell>
        </row>
        <row r="2">
          <cell r="I2">
            <v>52</v>
          </cell>
          <cell r="J2">
            <v>20</v>
          </cell>
        </row>
        <row r="3">
          <cell r="I3">
            <v>54</v>
          </cell>
          <cell r="J3">
            <v>200</v>
          </cell>
        </row>
        <row r="4">
          <cell r="I4">
            <v>56</v>
          </cell>
          <cell r="J4">
            <v>66</v>
          </cell>
        </row>
        <row r="5">
          <cell r="I5">
            <v>307</v>
          </cell>
          <cell r="J5">
            <v>859</v>
          </cell>
        </row>
        <row r="6">
          <cell r="I6">
            <v>308</v>
          </cell>
          <cell r="J6">
            <v>204</v>
          </cell>
        </row>
        <row r="7">
          <cell r="I7">
            <v>311</v>
          </cell>
          <cell r="J7">
            <v>98</v>
          </cell>
        </row>
        <row r="8">
          <cell r="I8">
            <v>329</v>
          </cell>
          <cell r="J8">
            <v>125</v>
          </cell>
        </row>
        <row r="9">
          <cell r="I9">
            <v>337</v>
          </cell>
          <cell r="J9">
            <v>682</v>
          </cell>
        </row>
        <row r="10">
          <cell r="I10">
            <v>339</v>
          </cell>
          <cell r="J10">
            <v>99</v>
          </cell>
        </row>
        <row r="11">
          <cell r="I11">
            <v>341</v>
          </cell>
          <cell r="J11">
            <v>367</v>
          </cell>
        </row>
        <row r="12">
          <cell r="I12">
            <v>343</v>
          </cell>
          <cell r="J12">
            <v>49</v>
          </cell>
        </row>
        <row r="13">
          <cell r="I13">
            <v>347</v>
          </cell>
          <cell r="J13">
            <v>64</v>
          </cell>
        </row>
        <row r="14">
          <cell r="I14">
            <v>349</v>
          </cell>
          <cell r="J14">
            <v>113</v>
          </cell>
        </row>
        <row r="15">
          <cell r="I15">
            <v>351</v>
          </cell>
          <cell r="J15">
            <v>101</v>
          </cell>
        </row>
        <row r="16">
          <cell r="I16">
            <v>355</v>
          </cell>
          <cell r="J16">
            <v>99</v>
          </cell>
        </row>
        <row r="17">
          <cell r="I17">
            <v>357</v>
          </cell>
          <cell r="J17">
            <v>205</v>
          </cell>
        </row>
        <row r="18">
          <cell r="I18">
            <v>359</v>
          </cell>
          <cell r="J18">
            <v>326</v>
          </cell>
        </row>
        <row r="19">
          <cell r="I19">
            <v>365</v>
          </cell>
          <cell r="J19">
            <v>65</v>
          </cell>
        </row>
        <row r="20">
          <cell r="I20">
            <v>367</v>
          </cell>
          <cell r="J20">
            <v>139</v>
          </cell>
        </row>
        <row r="21">
          <cell r="I21">
            <v>371</v>
          </cell>
          <cell r="J21">
            <v>107</v>
          </cell>
        </row>
        <row r="22">
          <cell r="I22">
            <v>373</v>
          </cell>
          <cell r="J22">
            <v>42</v>
          </cell>
        </row>
        <row r="23">
          <cell r="I23">
            <v>377</v>
          </cell>
          <cell r="J23">
            <v>234</v>
          </cell>
        </row>
        <row r="24">
          <cell r="I24">
            <v>379</v>
          </cell>
          <cell r="J24">
            <v>118</v>
          </cell>
        </row>
        <row r="25">
          <cell r="I25">
            <v>385</v>
          </cell>
          <cell r="J25">
            <v>326</v>
          </cell>
        </row>
        <row r="26">
          <cell r="I26">
            <v>387</v>
          </cell>
          <cell r="J26">
            <v>146</v>
          </cell>
        </row>
        <row r="27">
          <cell r="I27">
            <v>391</v>
          </cell>
          <cell r="J27">
            <v>106</v>
          </cell>
        </row>
        <row r="28">
          <cell r="I28">
            <v>399</v>
          </cell>
          <cell r="J28">
            <v>254</v>
          </cell>
        </row>
        <row r="29">
          <cell r="I29">
            <v>511</v>
          </cell>
          <cell r="J29">
            <v>182</v>
          </cell>
        </row>
        <row r="30">
          <cell r="I30">
            <v>513</v>
          </cell>
          <cell r="J30">
            <v>163</v>
          </cell>
        </row>
        <row r="31">
          <cell r="I31">
            <v>514</v>
          </cell>
          <cell r="J31">
            <v>89</v>
          </cell>
        </row>
        <row r="32">
          <cell r="I32">
            <v>515</v>
          </cell>
          <cell r="J32">
            <v>80</v>
          </cell>
        </row>
        <row r="33">
          <cell r="I33">
            <v>517</v>
          </cell>
          <cell r="J33">
            <v>345</v>
          </cell>
        </row>
        <row r="34">
          <cell r="I34">
            <v>539</v>
          </cell>
          <cell r="J34">
            <v>33</v>
          </cell>
        </row>
        <row r="35">
          <cell r="I35">
            <v>545</v>
          </cell>
          <cell r="J35">
            <v>88</v>
          </cell>
        </row>
        <row r="36">
          <cell r="I36">
            <v>546</v>
          </cell>
          <cell r="J36">
            <v>307</v>
          </cell>
        </row>
        <row r="37">
          <cell r="I37">
            <v>549</v>
          </cell>
          <cell r="J37">
            <v>41</v>
          </cell>
        </row>
        <row r="38">
          <cell r="I38">
            <v>570</v>
          </cell>
          <cell r="J38">
            <v>141</v>
          </cell>
        </row>
        <row r="39">
          <cell r="I39">
            <v>571</v>
          </cell>
          <cell r="J39">
            <v>195</v>
          </cell>
        </row>
        <row r="40">
          <cell r="I40">
            <v>572</v>
          </cell>
          <cell r="J40">
            <v>162</v>
          </cell>
        </row>
        <row r="41">
          <cell r="I41">
            <v>573</v>
          </cell>
          <cell r="J41">
            <v>77</v>
          </cell>
        </row>
        <row r="42">
          <cell r="I42">
            <v>578</v>
          </cell>
          <cell r="J42">
            <v>214</v>
          </cell>
        </row>
        <row r="43">
          <cell r="I43">
            <v>581</v>
          </cell>
          <cell r="J43">
            <v>149</v>
          </cell>
        </row>
        <row r="44">
          <cell r="I44">
            <v>582</v>
          </cell>
          <cell r="J44">
            <v>213</v>
          </cell>
        </row>
        <row r="45">
          <cell r="I45">
            <v>584</v>
          </cell>
          <cell r="J45">
            <v>206</v>
          </cell>
        </row>
        <row r="46">
          <cell r="I46">
            <v>585</v>
          </cell>
          <cell r="J46">
            <v>230</v>
          </cell>
        </row>
        <row r="47">
          <cell r="I47">
            <v>587</v>
          </cell>
          <cell r="J47">
            <v>87</v>
          </cell>
        </row>
        <row r="48">
          <cell r="I48">
            <v>591</v>
          </cell>
          <cell r="J48">
            <v>156</v>
          </cell>
        </row>
        <row r="49">
          <cell r="I49">
            <v>594</v>
          </cell>
          <cell r="J49">
            <v>113</v>
          </cell>
        </row>
        <row r="50">
          <cell r="I50">
            <v>598</v>
          </cell>
          <cell r="J50">
            <v>208</v>
          </cell>
        </row>
        <row r="51">
          <cell r="I51">
            <v>704</v>
          </cell>
          <cell r="J51">
            <v>106</v>
          </cell>
        </row>
        <row r="52">
          <cell r="I52">
            <v>706</v>
          </cell>
          <cell r="J52">
            <v>111</v>
          </cell>
        </row>
        <row r="53">
          <cell r="I53">
            <v>707</v>
          </cell>
          <cell r="J53">
            <v>125</v>
          </cell>
        </row>
        <row r="54">
          <cell r="I54">
            <v>709</v>
          </cell>
          <cell r="J54">
            <v>94</v>
          </cell>
        </row>
        <row r="55">
          <cell r="I55">
            <v>710</v>
          </cell>
          <cell r="J55">
            <v>123</v>
          </cell>
        </row>
        <row r="56">
          <cell r="I56">
            <v>712</v>
          </cell>
          <cell r="J56">
            <v>229</v>
          </cell>
        </row>
        <row r="57">
          <cell r="I57">
            <v>713</v>
          </cell>
          <cell r="J57">
            <v>57</v>
          </cell>
        </row>
        <row r="58">
          <cell r="I58">
            <v>716</v>
          </cell>
          <cell r="J58">
            <v>83</v>
          </cell>
        </row>
        <row r="59">
          <cell r="I59">
            <v>717</v>
          </cell>
          <cell r="J59">
            <v>144</v>
          </cell>
        </row>
        <row r="60">
          <cell r="I60">
            <v>718</v>
          </cell>
          <cell r="J60">
            <v>54</v>
          </cell>
        </row>
        <row r="61">
          <cell r="I61">
            <v>720</v>
          </cell>
          <cell r="J61">
            <v>160</v>
          </cell>
        </row>
        <row r="62">
          <cell r="I62">
            <v>721</v>
          </cell>
          <cell r="J62">
            <v>178</v>
          </cell>
        </row>
        <row r="63">
          <cell r="I63">
            <v>723</v>
          </cell>
          <cell r="J63">
            <v>104</v>
          </cell>
        </row>
        <row r="64">
          <cell r="I64">
            <v>724</v>
          </cell>
          <cell r="J64">
            <v>88</v>
          </cell>
        </row>
        <row r="65">
          <cell r="I65">
            <v>726</v>
          </cell>
          <cell r="J65">
            <v>216</v>
          </cell>
        </row>
        <row r="66">
          <cell r="I66">
            <v>727</v>
          </cell>
          <cell r="J66">
            <v>67</v>
          </cell>
        </row>
        <row r="67">
          <cell r="I67">
            <v>730</v>
          </cell>
          <cell r="J67">
            <v>366</v>
          </cell>
        </row>
        <row r="68">
          <cell r="I68">
            <v>732</v>
          </cell>
          <cell r="J68">
            <v>81</v>
          </cell>
        </row>
        <row r="69">
          <cell r="I69">
            <v>733</v>
          </cell>
          <cell r="J69">
            <v>98</v>
          </cell>
        </row>
        <row r="70">
          <cell r="I70">
            <v>737</v>
          </cell>
          <cell r="J70">
            <v>243</v>
          </cell>
        </row>
        <row r="71">
          <cell r="I71">
            <v>738</v>
          </cell>
          <cell r="J71">
            <v>108</v>
          </cell>
        </row>
        <row r="72">
          <cell r="I72">
            <v>740</v>
          </cell>
          <cell r="J72">
            <v>151</v>
          </cell>
        </row>
        <row r="73">
          <cell r="I73">
            <v>741</v>
          </cell>
          <cell r="J73">
            <v>44</v>
          </cell>
        </row>
        <row r="74">
          <cell r="I74">
            <v>742</v>
          </cell>
          <cell r="J74">
            <v>91</v>
          </cell>
        </row>
        <row r="75">
          <cell r="I75">
            <v>743</v>
          </cell>
          <cell r="J75">
            <v>163</v>
          </cell>
        </row>
        <row r="76">
          <cell r="I76">
            <v>744</v>
          </cell>
          <cell r="J76">
            <v>87</v>
          </cell>
        </row>
        <row r="77">
          <cell r="I77">
            <v>745</v>
          </cell>
          <cell r="J77">
            <v>151</v>
          </cell>
        </row>
        <row r="78">
          <cell r="I78">
            <v>746</v>
          </cell>
          <cell r="J78">
            <v>184</v>
          </cell>
        </row>
        <row r="79">
          <cell r="I79">
            <v>747</v>
          </cell>
          <cell r="J79">
            <v>198</v>
          </cell>
        </row>
        <row r="80">
          <cell r="I80">
            <v>748</v>
          </cell>
          <cell r="J80">
            <v>137</v>
          </cell>
        </row>
        <row r="81">
          <cell r="I81">
            <v>750</v>
          </cell>
          <cell r="J81">
            <v>576</v>
          </cell>
        </row>
        <row r="82">
          <cell r="I82">
            <v>752</v>
          </cell>
          <cell r="J82">
            <v>84</v>
          </cell>
        </row>
        <row r="83">
          <cell r="I83">
            <v>753</v>
          </cell>
          <cell r="J83">
            <v>133</v>
          </cell>
        </row>
        <row r="84">
          <cell r="I84">
            <v>754</v>
          </cell>
          <cell r="J84">
            <v>299</v>
          </cell>
        </row>
        <row r="85">
          <cell r="I85">
            <v>755</v>
          </cell>
          <cell r="J85">
            <v>76</v>
          </cell>
        </row>
        <row r="86">
          <cell r="I86">
            <v>101453</v>
          </cell>
          <cell r="J86">
            <v>158</v>
          </cell>
        </row>
        <row r="87">
          <cell r="I87">
            <v>102478</v>
          </cell>
          <cell r="J87">
            <v>144</v>
          </cell>
        </row>
        <row r="88">
          <cell r="I88">
            <v>102479</v>
          </cell>
          <cell r="J88">
            <v>515</v>
          </cell>
        </row>
        <row r="89">
          <cell r="I89">
            <v>102564</v>
          </cell>
          <cell r="J89">
            <v>132</v>
          </cell>
        </row>
        <row r="90">
          <cell r="I90">
            <v>102565</v>
          </cell>
          <cell r="J90">
            <v>280</v>
          </cell>
        </row>
        <row r="91">
          <cell r="I91">
            <v>102567</v>
          </cell>
          <cell r="J91">
            <v>184</v>
          </cell>
        </row>
        <row r="92">
          <cell r="I92">
            <v>102934</v>
          </cell>
          <cell r="J92">
            <v>422</v>
          </cell>
        </row>
        <row r="93">
          <cell r="I93">
            <v>102935</v>
          </cell>
          <cell r="J93">
            <v>204</v>
          </cell>
        </row>
        <row r="94">
          <cell r="I94">
            <v>103198</v>
          </cell>
          <cell r="J94">
            <v>174</v>
          </cell>
        </row>
        <row r="95">
          <cell r="I95">
            <v>103199</v>
          </cell>
          <cell r="J95">
            <v>111</v>
          </cell>
        </row>
        <row r="96">
          <cell r="I96">
            <v>103639</v>
          </cell>
          <cell r="J96">
            <v>319</v>
          </cell>
        </row>
        <row r="97">
          <cell r="I97">
            <v>104428</v>
          </cell>
          <cell r="J97">
            <v>72</v>
          </cell>
        </row>
        <row r="98">
          <cell r="I98">
            <v>104429</v>
          </cell>
          <cell r="J98">
            <v>45</v>
          </cell>
        </row>
        <row r="99">
          <cell r="I99">
            <v>104430</v>
          </cell>
          <cell r="J99">
            <v>317</v>
          </cell>
        </row>
        <row r="100">
          <cell r="I100">
            <v>104533</v>
          </cell>
          <cell r="J100">
            <v>173</v>
          </cell>
        </row>
        <row r="101">
          <cell r="I101">
            <v>104838</v>
          </cell>
          <cell r="J101">
            <v>210</v>
          </cell>
        </row>
        <row r="102">
          <cell r="I102">
            <v>105267</v>
          </cell>
          <cell r="J102">
            <v>373</v>
          </cell>
        </row>
        <row r="103">
          <cell r="I103">
            <v>105396</v>
          </cell>
          <cell r="J103">
            <v>3</v>
          </cell>
        </row>
      </sheetData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查询门店会员消费占比"/>
    </sheetNames>
    <sheetDataSet>
      <sheetData sheetId="0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</row>
        <row r="2">
          <cell r="B2" t="str">
            <v>门店ID</v>
          </cell>
          <cell r="C2" t="str">
            <v>门店名称</v>
          </cell>
          <cell r="D2" t="str">
            <v>重点门店</v>
          </cell>
          <cell r="E2" t="str">
            <v>开店年份</v>
          </cell>
          <cell r="F2" t="str">
            <v>总笔数</v>
          </cell>
          <cell r="G2" t="str">
            <v>会员消费笔数</v>
          </cell>
          <cell r="H2" t="str">
            <v>会员消费笔数占比</v>
          </cell>
          <cell r="I2" t="str">
            <v>总销售</v>
          </cell>
          <cell r="J2" t="str">
            <v>会员消费</v>
          </cell>
          <cell r="K2" t="str">
            <v>会员消费占比</v>
          </cell>
        </row>
        <row r="3">
          <cell r="B3">
            <v>307</v>
          </cell>
          <cell r="C3" t="str">
            <v>四川太极旗舰店</v>
          </cell>
          <cell r="D3" t="str">
            <v>是</v>
          </cell>
          <cell r="E3">
            <v>2008</v>
          </cell>
          <cell r="F3">
            <v>14593</v>
          </cell>
          <cell r="G3">
            <v>8183</v>
          </cell>
          <cell r="H3" t="str">
            <v>56.07%</v>
          </cell>
          <cell r="I3">
            <v>1979769.49</v>
          </cell>
          <cell r="J3">
            <v>1334783.32</v>
          </cell>
          <cell r="K3" t="str">
            <v>67.42%</v>
          </cell>
        </row>
        <row r="4">
          <cell r="B4">
            <v>308</v>
          </cell>
          <cell r="C4" t="str">
            <v>四川太极红星店</v>
          </cell>
          <cell r="D4" t="str">
            <v>是</v>
          </cell>
          <cell r="E4">
            <v>2008</v>
          </cell>
          <cell r="F4">
            <v>3182</v>
          </cell>
          <cell r="G4">
            <v>1797</v>
          </cell>
          <cell r="H4" t="str">
            <v>56.47%</v>
          </cell>
          <cell r="I4">
            <v>261903.12</v>
          </cell>
          <cell r="J4">
            <v>159862.04</v>
          </cell>
          <cell r="K4" t="str">
            <v>61.04%</v>
          </cell>
        </row>
        <row r="5">
          <cell r="B5">
            <v>54</v>
          </cell>
          <cell r="C5" t="str">
            <v>四川太极怀远店</v>
          </cell>
          <cell r="D5" t="str">
            <v>是</v>
          </cell>
          <cell r="E5">
            <v>2008</v>
          </cell>
          <cell r="F5">
            <v>3099</v>
          </cell>
          <cell r="G5">
            <v>2284</v>
          </cell>
          <cell r="H5" t="str">
            <v>73.7%</v>
          </cell>
          <cell r="I5">
            <v>238083.18</v>
          </cell>
          <cell r="J5">
            <v>210471.04</v>
          </cell>
          <cell r="K5" t="str">
            <v>88.4%</v>
          </cell>
        </row>
        <row r="6">
          <cell r="B6">
            <v>329</v>
          </cell>
          <cell r="C6" t="str">
            <v>四川太极温江店</v>
          </cell>
          <cell r="D6" t="str">
            <v>是</v>
          </cell>
          <cell r="E6">
            <v>2008</v>
          </cell>
          <cell r="F6">
            <v>2175</v>
          </cell>
          <cell r="G6">
            <v>1470</v>
          </cell>
          <cell r="H6" t="str">
            <v>67.59%</v>
          </cell>
          <cell r="I6">
            <v>221856.95</v>
          </cell>
          <cell r="J6">
            <v>186629.79</v>
          </cell>
          <cell r="K6" t="str">
            <v>84.12%</v>
          </cell>
        </row>
        <row r="7">
          <cell r="B7">
            <v>311</v>
          </cell>
          <cell r="C7" t="str">
            <v>四川太极西部店</v>
          </cell>
          <cell r="D7" t="str">
            <v>是</v>
          </cell>
          <cell r="E7">
            <v>2008</v>
          </cell>
          <cell r="F7">
            <v>1103</v>
          </cell>
          <cell r="G7">
            <v>665</v>
          </cell>
          <cell r="H7" t="str">
            <v>60.29%</v>
          </cell>
          <cell r="I7">
            <v>205332.18</v>
          </cell>
          <cell r="J7">
            <v>113824.3</v>
          </cell>
          <cell r="K7" t="str">
            <v>55.43%</v>
          </cell>
        </row>
        <row r="8">
          <cell r="B8">
            <v>52</v>
          </cell>
          <cell r="C8" t="str">
            <v>四川太极崇州中心店</v>
          </cell>
          <cell r="D8" t="str">
            <v>是</v>
          </cell>
          <cell r="E8">
            <v>2008</v>
          </cell>
          <cell r="F8">
            <v>2496</v>
          </cell>
          <cell r="G8">
            <v>1548</v>
          </cell>
          <cell r="H8" t="str">
            <v>62.02%</v>
          </cell>
          <cell r="I8">
            <v>171880.26</v>
          </cell>
          <cell r="J8">
            <v>136094.48</v>
          </cell>
          <cell r="K8" t="str">
            <v>79.18%</v>
          </cell>
        </row>
        <row r="9">
          <cell r="B9">
            <v>56</v>
          </cell>
          <cell r="C9" t="str">
            <v>四川太极三江店</v>
          </cell>
          <cell r="D9" t="str">
            <v>是</v>
          </cell>
          <cell r="E9">
            <v>2008</v>
          </cell>
          <cell r="F9">
            <v>1517</v>
          </cell>
          <cell r="G9">
            <v>1145</v>
          </cell>
          <cell r="H9" t="str">
            <v>75.48%</v>
          </cell>
          <cell r="I9">
            <v>121339.07</v>
          </cell>
          <cell r="J9">
            <v>107834.51</v>
          </cell>
          <cell r="K9" t="str">
            <v>88.87%</v>
          </cell>
        </row>
        <row r="10">
          <cell r="B10">
            <v>337</v>
          </cell>
          <cell r="C10" t="str">
            <v>四川太极浆洗街药店</v>
          </cell>
          <cell r="D10" t="str">
            <v>是</v>
          </cell>
          <cell r="E10">
            <v>2009</v>
          </cell>
          <cell r="F10">
            <v>7225</v>
          </cell>
          <cell r="G10">
            <v>2776</v>
          </cell>
          <cell r="H10" t="str">
            <v>38.42%</v>
          </cell>
          <cell r="I10">
            <v>741888.21</v>
          </cell>
          <cell r="J10">
            <v>451495.95</v>
          </cell>
          <cell r="K10" t="str">
            <v>60.86%</v>
          </cell>
        </row>
        <row r="11">
          <cell r="B11">
            <v>341</v>
          </cell>
          <cell r="C11" t="str">
            <v>四川太极邛崃中心药店</v>
          </cell>
          <cell r="D11" t="str">
            <v>是</v>
          </cell>
          <cell r="E11">
            <v>2009</v>
          </cell>
          <cell r="F11">
            <v>6512</v>
          </cell>
          <cell r="G11">
            <v>3994</v>
          </cell>
          <cell r="H11" t="str">
            <v>61.33%</v>
          </cell>
          <cell r="I11">
            <v>619313.18</v>
          </cell>
          <cell r="J11">
            <v>457163.93</v>
          </cell>
          <cell r="K11" t="str">
            <v>73.82%</v>
          </cell>
        </row>
        <row r="12">
          <cell r="B12">
            <v>343</v>
          </cell>
          <cell r="C12" t="str">
            <v>四川太极光华药店</v>
          </cell>
          <cell r="D12" t="str">
            <v>是</v>
          </cell>
          <cell r="E12">
            <v>2009</v>
          </cell>
          <cell r="F12">
            <v>5109</v>
          </cell>
          <cell r="G12">
            <v>3895</v>
          </cell>
          <cell r="H12" t="str">
            <v>76.24%</v>
          </cell>
          <cell r="I12">
            <v>602153.4</v>
          </cell>
          <cell r="J12">
            <v>538082.7</v>
          </cell>
          <cell r="K12" t="str">
            <v>89.36%</v>
          </cell>
        </row>
        <row r="13">
          <cell r="B13">
            <v>357</v>
          </cell>
          <cell r="C13" t="str">
            <v>四川太极清江东路药店</v>
          </cell>
          <cell r="D13" t="str">
            <v/>
          </cell>
          <cell r="E13">
            <v>2009</v>
          </cell>
          <cell r="F13">
            <v>2718</v>
          </cell>
          <cell r="G13">
            <v>1677</v>
          </cell>
          <cell r="H13" t="str">
            <v>61.7%</v>
          </cell>
          <cell r="I13">
            <v>280070.67</v>
          </cell>
          <cell r="J13">
            <v>199364.6</v>
          </cell>
          <cell r="K13" t="str">
            <v>71.18%</v>
          </cell>
        </row>
        <row r="14">
          <cell r="B14">
            <v>355</v>
          </cell>
          <cell r="C14" t="str">
            <v>四川太极双林路药店</v>
          </cell>
          <cell r="D14" t="str">
            <v>是</v>
          </cell>
          <cell r="E14">
            <v>2009</v>
          </cell>
          <cell r="F14">
            <v>3252</v>
          </cell>
          <cell r="G14">
            <v>1549</v>
          </cell>
          <cell r="H14" t="str">
            <v>47.63%</v>
          </cell>
          <cell r="I14">
            <v>249371.57</v>
          </cell>
          <cell r="J14">
            <v>151392.06</v>
          </cell>
          <cell r="K14" t="str">
            <v>60.71%</v>
          </cell>
        </row>
        <row r="15">
          <cell r="B15">
            <v>351</v>
          </cell>
          <cell r="C15" t="str">
            <v>四川太极都江堰药店</v>
          </cell>
          <cell r="D15" t="str">
            <v>是</v>
          </cell>
          <cell r="E15">
            <v>2009</v>
          </cell>
          <cell r="F15">
            <v>1848</v>
          </cell>
          <cell r="G15">
            <v>1072</v>
          </cell>
          <cell r="H15" t="str">
            <v>58.01%</v>
          </cell>
          <cell r="I15">
            <v>211791.36</v>
          </cell>
          <cell r="J15">
            <v>181002.8</v>
          </cell>
          <cell r="K15" t="str">
            <v>85.46%</v>
          </cell>
        </row>
        <row r="16">
          <cell r="B16">
            <v>349</v>
          </cell>
          <cell r="C16" t="str">
            <v>四川太极人民中路店</v>
          </cell>
          <cell r="D16" t="str">
            <v/>
          </cell>
          <cell r="E16">
            <v>2009</v>
          </cell>
          <cell r="F16">
            <v>2963</v>
          </cell>
          <cell r="G16">
            <v>1324</v>
          </cell>
          <cell r="H16" t="str">
            <v>44.68%</v>
          </cell>
          <cell r="I16">
            <v>205547.04</v>
          </cell>
          <cell r="J16">
            <v>125003.62</v>
          </cell>
          <cell r="K16" t="str">
            <v>60.82%</v>
          </cell>
        </row>
        <row r="17">
          <cell r="B17">
            <v>345</v>
          </cell>
          <cell r="C17" t="str">
            <v>四川太极交大药店</v>
          </cell>
          <cell r="D17" t="str">
            <v/>
          </cell>
          <cell r="E17">
            <v>2009</v>
          </cell>
          <cell r="F17">
            <v>26</v>
          </cell>
          <cell r="G17" t="str">
            <v/>
          </cell>
          <cell r="H17" t="str">
            <v>%</v>
          </cell>
          <cell r="I17">
            <v>185834.9</v>
          </cell>
          <cell r="J17" t="str">
            <v/>
          </cell>
          <cell r="K17" t="str">
            <v>%</v>
          </cell>
        </row>
        <row r="18">
          <cell r="B18">
            <v>347</v>
          </cell>
          <cell r="C18" t="str">
            <v>四川太极清江东路2药店</v>
          </cell>
          <cell r="D18" t="str">
            <v>是</v>
          </cell>
          <cell r="E18">
            <v>2009</v>
          </cell>
          <cell r="F18">
            <v>2503</v>
          </cell>
          <cell r="G18">
            <v>1280</v>
          </cell>
          <cell r="H18" t="str">
            <v>51.14%</v>
          </cell>
          <cell r="I18">
            <v>154440.41</v>
          </cell>
          <cell r="J18">
            <v>106728.55</v>
          </cell>
          <cell r="K18" t="str">
            <v>69.11%</v>
          </cell>
        </row>
        <row r="19">
          <cell r="B19">
            <v>339</v>
          </cell>
          <cell r="C19" t="str">
            <v>四川太极沙河源药店</v>
          </cell>
          <cell r="D19" t="str">
            <v>是</v>
          </cell>
          <cell r="E19">
            <v>2009</v>
          </cell>
          <cell r="F19">
            <v>1830</v>
          </cell>
          <cell r="G19">
            <v>1090</v>
          </cell>
          <cell r="H19" t="str">
            <v>59.56%</v>
          </cell>
          <cell r="I19">
            <v>134497.44</v>
          </cell>
          <cell r="J19">
            <v>99537.01</v>
          </cell>
          <cell r="K19" t="str">
            <v>74.01%</v>
          </cell>
        </row>
        <row r="20">
          <cell r="B20">
            <v>517</v>
          </cell>
          <cell r="C20" t="str">
            <v>四川太极青羊区北东街店</v>
          </cell>
          <cell r="D20" t="str">
            <v/>
          </cell>
          <cell r="E20">
            <v>2010</v>
          </cell>
          <cell r="F20">
            <v>6485</v>
          </cell>
          <cell r="G20">
            <v>2135</v>
          </cell>
          <cell r="H20" t="str">
            <v>32.92%</v>
          </cell>
          <cell r="I20">
            <v>628220.7</v>
          </cell>
          <cell r="J20">
            <v>233369.93</v>
          </cell>
          <cell r="K20" t="str">
            <v>37.15%</v>
          </cell>
        </row>
        <row r="21">
          <cell r="B21">
            <v>571</v>
          </cell>
          <cell r="C21" t="str">
            <v>四川太极高新区民丰大道西段药店</v>
          </cell>
          <cell r="D21" t="str">
            <v>是</v>
          </cell>
          <cell r="E21">
            <v>2010</v>
          </cell>
          <cell r="F21">
            <v>5434</v>
          </cell>
          <cell r="G21">
            <v>3595</v>
          </cell>
          <cell r="H21" t="str">
            <v>66.16%</v>
          </cell>
          <cell r="I21">
            <v>502200.29</v>
          </cell>
          <cell r="J21">
            <v>401602.85</v>
          </cell>
          <cell r="K21" t="str">
            <v>79.97%</v>
          </cell>
        </row>
        <row r="22">
          <cell r="B22">
            <v>365</v>
          </cell>
          <cell r="C22" t="str">
            <v>四川太极光华村街药店</v>
          </cell>
          <cell r="D22" t="str">
            <v>是</v>
          </cell>
          <cell r="E22">
            <v>2010</v>
          </cell>
          <cell r="F22">
            <v>4012</v>
          </cell>
          <cell r="G22">
            <v>2384</v>
          </cell>
          <cell r="H22" t="str">
            <v>59.42%</v>
          </cell>
          <cell r="I22">
            <v>376027.94</v>
          </cell>
          <cell r="J22">
            <v>292623.64</v>
          </cell>
          <cell r="K22" t="str">
            <v>77.82%</v>
          </cell>
        </row>
        <row r="23">
          <cell r="B23">
            <v>387</v>
          </cell>
          <cell r="C23" t="str">
            <v>四川太极新乐中街药店</v>
          </cell>
          <cell r="D23" t="str">
            <v/>
          </cell>
          <cell r="E23">
            <v>2010</v>
          </cell>
          <cell r="F23">
            <v>5059</v>
          </cell>
          <cell r="G23">
            <v>3485</v>
          </cell>
          <cell r="H23" t="str">
            <v>68.89%</v>
          </cell>
          <cell r="I23">
            <v>365366.35</v>
          </cell>
          <cell r="J23">
            <v>294014</v>
          </cell>
          <cell r="K23" t="str">
            <v>80.47%</v>
          </cell>
        </row>
        <row r="24">
          <cell r="B24">
            <v>385</v>
          </cell>
          <cell r="C24" t="str">
            <v>四川太极五津西路药店</v>
          </cell>
          <cell r="D24" t="str">
            <v>是</v>
          </cell>
          <cell r="E24">
            <v>2010</v>
          </cell>
          <cell r="F24">
            <v>3686</v>
          </cell>
          <cell r="G24">
            <v>2336</v>
          </cell>
          <cell r="H24" t="str">
            <v>63.37%</v>
          </cell>
          <cell r="I24">
            <v>355142.03</v>
          </cell>
          <cell r="J24">
            <v>277916.05</v>
          </cell>
          <cell r="K24" t="str">
            <v>78.25%</v>
          </cell>
        </row>
        <row r="25">
          <cell r="B25">
            <v>359</v>
          </cell>
          <cell r="C25" t="str">
            <v>四川太极枣子巷药店</v>
          </cell>
          <cell r="D25" t="str">
            <v/>
          </cell>
          <cell r="E25">
            <v>2010</v>
          </cell>
          <cell r="F25">
            <v>4758</v>
          </cell>
          <cell r="G25">
            <v>2569</v>
          </cell>
          <cell r="H25" t="str">
            <v>53.99%</v>
          </cell>
          <cell r="I25">
            <v>310920.15</v>
          </cell>
          <cell r="J25">
            <v>224981.21</v>
          </cell>
          <cell r="K25" t="str">
            <v>72.36%</v>
          </cell>
        </row>
        <row r="26">
          <cell r="B26">
            <v>373</v>
          </cell>
          <cell r="C26" t="str">
            <v>四川太极通盈街药店</v>
          </cell>
          <cell r="D26" t="str">
            <v/>
          </cell>
          <cell r="E26">
            <v>2010</v>
          </cell>
          <cell r="F26">
            <v>4112</v>
          </cell>
          <cell r="G26">
            <v>3074</v>
          </cell>
          <cell r="H26" t="str">
            <v>74.76%</v>
          </cell>
          <cell r="I26">
            <v>298041.7</v>
          </cell>
          <cell r="J26">
            <v>236165.88</v>
          </cell>
          <cell r="K26" t="str">
            <v>79.24%</v>
          </cell>
        </row>
        <row r="27">
          <cell r="B27">
            <v>546</v>
          </cell>
          <cell r="C27" t="str">
            <v>四川太极锦江区榕声路店</v>
          </cell>
          <cell r="D27" t="str">
            <v/>
          </cell>
          <cell r="E27">
            <v>2010</v>
          </cell>
          <cell r="F27">
            <v>4472</v>
          </cell>
          <cell r="G27">
            <v>3041</v>
          </cell>
          <cell r="H27" t="str">
            <v>68%</v>
          </cell>
          <cell r="I27">
            <v>279567.2</v>
          </cell>
          <cell r="J27">
            <v>225456.98</v>
          </cell>
          <cell r="K27" t="str">
            <v>80.65%</v>
          </cell>
        </row>
        <row r="28">
          <cell r="B28">
            <v>513</v>
          </cell>
          <cell r="C28" t="str">
            <v>四川太极武侯区顺和街店</v>
          </cell>
          <cell r="D28" t="str">
            <v/>
          </cell>
          <cell r="E28">
            <v>2010</v>
          </cell>
          <cell r="F28">
            <v>3829</v>
          </cell>
          <cell r="G28">
            <v>2716</v>
          </cell>
          <cell r="H28" t="str">
            <v>70.93%</v>
          </cell>
          <cell r="I28">
            <v>269057.02</v>
          </cell>
          <cell r="J28">
            <v>223507.35</v>
          </cell>
          <cell r="K28" t="str">
            <v>83.07%</v>
          </cell>
        </row>
        <row r="29">
          <cell r="B29">
            <v>399</v>
          </cell>
          <cell r="C29" t="str">
            <v>四川太极高新天久北巷药店</v>
          </cell>
          <cell r="D29" t="str">
            <v/>
          </cell>
          <cell r="E29">
            <v>2010</v>
          </cell>
          <cell r="F29">
            <v>3070</v>
          </cell>
          <cell r="G29">
            <v>2129</v>
          </cell>
          <cell r="H29" t="str">
            <v>69.35%</v>
          </cell>
          <cell r="I29">
            <v>242399.03</v>
          </cell>
          <cell r="J29">
            <v>200234.92</v>
          </cell>
          <cell r="K29" t="str">
            <v>82.61%</v>
          </cell>
        </row>
        <row r="30">
          <cell r="B30">
            <v>379</v>
          </cell>
          <cell r="C30" t="str">
            <v>四川太极土龙路药店</v>
          </cell>
          <cell r="D30" t="str">
            <v/>
          </cell>
          <cell r="E30">
            <v>2010</v>
          </cell>
          <cell r="F30">
            <v>3364</v>
          </cell>
          <cell r="G30">
            <v>2068</v>
          </cell>
          <cell r="H30" t="str">
            <v>61.47%</v>
          </cell>
          <cell r="I30">
            <v>222755.9</v>
          </cell>
          <cell r="J30">
            <v>165251.92</v>
          </cell>
          <cell r="K30" t="str">
            <v>74.19%</v>
          </cell>
        </row>
        <row r="31">
          <cell r="B31">
            <v>377</v>
          </cell>
          <cell r="C31" t="str">
            <v>四川太极新园大道药店</v>
          </cell>
          <cell r="D31" t="str">
            <v/>
          </cell>
          <cell r="E31">
            <v>2010</v>
          </cell>
          <cell r="F31">
            <v>4178</v>
          </cell>
          <cell r="G31">
            <v>2648</v>
          </cell>
          <cell r="H31" t="str">
            <v>63.38%</v>
          </cell>
          <cell r="I31">
            <v>219425.81</v>
          </cell>
          <cell r="J31">
            <v>170546.99</v>
          </cell>
          <cell r="K31" t="str">
            <v>77.72%</v>
          </cell>
        </row>
        <row r="32">
          <cell r="B32">
            <v>514</v>
          </cell>
          <cell r="C32" t="str">
            <v>四川太极新津邓双镇岷江店</v>
          </cell>
          <cell r="D32" t="str">
            <v/>
          </cell>
          <cell r="E32">
            <v>2010</v>
          </cell>
          <cell r="F32">
            <v>3900</v>
          </cell>
          <cell r="G32">
            <v>3099</v>
          </cell>
          <cell r="H32" t="str">
            <v>79.46%</v>
          </cell>
          <cell r="I32">
            <v>216245.08</v>
          </cell>
          <cell r="J32">
            <v>192417.6</v>
          </cell>
          <cell r="K32" t="str">
            <v>88.98%</v>
          </cell>
        </row>
        <row r="33">
          <cell r="B33">
            <v>511</v>
          </cell>
          <cell r="C33" t="str">
            <v>四川太极成华杉板桥南一路店</v>
          </cell>
          <cell r="D33" t="str">
            <v/>
          </cell>
          <cell r="E33">
            <v>2010</v>
          </cell>
          <cell r="F33">
            <v>3521</v>
          </cell>
          <cell r="G33">
            <v>2451</v>
          </cell>
          <cell r="H33" t="str">
            <v>69.61%</v>
          </cell>
          <cell r="I33">
            <v>205607.8</v>
          </cell>
          <cell r="J33">
            <v>158389.11</v>
          </cell>
          <cell r="K33" t="str">
            <v>77.03%</v>
          </cell>
        </row>
        <row r="34">
          <cell r="B34">
            <v>515</v>
          </cell>
          <cell r="C34" t="str">
            <v>四川太极成华区崔家店路药店</v>
          </cell>
          <cell r="D34" t="str">
            <v/>
          </cell>
          <cell r="E34">
            <v>2010</v>
          </cell>
          <cell r="F34">
            <v>2924</v>
          </cell>
          <cell r="G34">
            <v>2006</v>
          </cell>
          <cell r="H34" t="str">
            <v>68.6%</v>
          </cell>
          <cell r="I34">
            <v>195141.06</v>
          </cell>
          <cell r="J34">
            <v>152038.65</v>
          </cell>
          <cell r="K34" t="str">
            <v>77.91%</v>
          </cell>
        </row>
        <row r="35">
          <cell r="B35">
            <v>367</v>
          </cell>
          <cell r="C35" t="str">
            <v>四川太极金带街药店</v>
          </cell>
          <cell r="D35" t="str">
            <v/>
          </cell>
          <cell r="E35">
            <v>2010</v>
          </cell>
          <cell r="F35">
            <v>2789</v>
          </cell>
          <cell r="G35">
            <v>1870</v>
          </cell>
          <cell r="H35" t="str">
            <v>67.05%</v>
          </cell>
          <cell r="I35">
            <v>187635.71</v>
          </cell>
          <cell r="J35">
            <v>143611.69</v>
          </cell>
          <cell r="K35" t="str">
            <v>76.54%</v>
          </cell>
        </row>
        <row r="36">
          <cell r="B36">
            <v>572</v>
          </cell>
          <cell r="C36" t="str">
            <v>四川太极郫县郫筒镇东大街药店</v>
          </cell>
          <cell r="D36" t="str">
            <v/>
          </cell>
          <cell r="E36">
            <v>2010</v>
          </cell>
          <cell r="F36">
            <v>2408</v>
          </cell>
          <cell r="G36">
            <v>1373</v>
          </cell>
          <cell r="H36" t="str">
            <v>57.02%</v>
          </cell>
          <cell r="I36">
            <v>178223.19</v>
          </cell>
          <cell r="J36">
            <v>131027.43</v>
          </cell>
          <cell r="K36" t="str">
            <v>73.52%</v>
          </cell>
        </row>
        <row r="37">
          <cell r="B37">
            <v>570</v>
          </cell>
          <cell r="C37" t="str">
            <v>四川太极青羊区浣花滨河路药店</v>
          </cell>
          <cell r="D37" t="str">
            <v/>
          </cell>
          <cell r="E37">
            <v>2010</v>
          </cell>
          <cell r="F37">
            <v>2503</v>
          </cell>
          <cell r="G37">
            <v>1770</v>
          </cell>
          <cell r="H37" t="str">
            <v>70.72%</v>
          </cell>
          <cell r="I37">
            <v>137418.25</v>
          </cell>
          <cell r="J37">
            <v>109154.86</v>
          </cell>
          <cell r="K37" t="str">
            <v>79.43%</v>
          </cell>
        </row>
        <row r="38">
          <cell r="B38">
            <v>391</v>
          </cell>
          <cell r="C38" t="str">
            <v>四川太极金丝街药店</v>
          </cell>
          <cell r="D38" t="str">
            <v/>
          </cell>
          <cell r="E38">
            <v>2010</v>
          </cell>
          <cell r="F38">
            <v>1619</v>
          </cell>
          <cell r="G38">
            <v>724</v>
          </cell>
          <cell r="H38" t="str">
            <v>44.72%</v>
          </cell>
          <cell r="I38">
            <v>130272.27</v>
          </cell>
          <cell r="J38">
            <v>81564.06</v>
          </cell>
          <cell r="K38" t="str">
            <v>62.61%</v>
          </cell>
        </row>
        <row r="39">
          <cell r="B39">
            <v>573</v>
          </cell>
          <cell r="C39" t="str">
            <v>四川太极双流县西航港街道锦华路一段药店</v>
          </cell>
          <cell r="D39" t="str">
            <v/>
          </cell>
          <cell r="E39">
            <v>2010</v>
          </cell>
          <cell r="F39">
            <v>2327</v>
          </cell>
          <cell r="G39">
            <v>1582</v>
          </cell>
          <cell r="H39" t="str">
            <v>67.98%</v>
          </cell>
          <cell r="I39">
            <v>127494.69</v>
          </cell>
          <cell r="J39">
            <v>93681.34</v>
          </cell>
          <cell r="K39" t="str">
            <v>73.48%</v>
          </cell>
        </row>
        <row r="40">
          <cell r="B40">
            <v>539</v>
          </cell>
          <cell r="C40" t="str">
            <v>四川太极大邑县晋原镇子龙路店</v>
          </cell>
          <cell r="D40" t="str">
            <v/>
          </cell>
          <cell r="E40">
            <v>2010</v>
          </cell>
          <cell r="F40">
            <v>1182</v>
          </cell>
          <cell r="G40">
            <v>701</v>
          </cell>
          <cell r="H40" t="str">
            <v>59.31%</v>
          </cell>
          <cell r="I40">
            <v>101556.9</v>
          </cell>
          <cell r="J40">
            <v>69227.4</v>
          </cell>
          <cell r="K40" t="str">
            <v>68.17%</v>
          </cell>
        </row>
        <row r="41">
          <cell r="B41">
            <v>371</v>
          </cell>
          <cell r="C41" t="str">
            <v>四川太极兴义镇万兴路药店</v>
          </cell>
          <cell r="D41" t="str">
            <v/>
          </cell>
          <cell r="E41">
            <v>2010</v>
          </cell>
          <cell r="F41">
            <v>1799</v>
          </cell>
          <cell r="G41">
            <v>1213</v>
          </cell>
          <cell r="H41" t="str">
            <v>67.43%</v>
          </cell>
          <cell r="I41">
            <v>95498.06</v>
          </cell>
          <cell r="J41">
            <v>75009.37</v>
          </cell>
          <cell r="K41" t="str">
            <v>78.55%</v>
          </cell>
        </row>
        <row r="42">
          <cell r="B42">
            <v>545</v>
          </cell>
          <cell r="C42" t="str">
            <v>四川太极龙潭西路店</v>
          </cell>
          <cell r="D42" t="str">
            <v>是</v>
          </cell>
          <cell r="E42">
            <v>2010</v>
          </cell>
          <cell r="F42">
            <v>1593</v>
          </cell>
          <cell r="G42">
            <v>990</v>
          </cell>
          <cell r="H42" t="str">
            <v>62.15%</v>
          </cell>
          <cell r="I42">
            <v>94324.28</v>
          </cell>
          <cell r="J42">
            <v>73958.68</v>
          </cell>
          <cell r="K42" t="str">
            <v>78.41%</v>
          </cell>
        </row>
        <row r="43">
          <cell r="B43">
            <v>549</v>
          </cell>
          <cell r="C43" t="str">
            <v>四川太极大邑县晋源镇东壕沟段药店</v>
          </cell>
          <cell r="D43" t="str">
            <v/>
          </cell>
          <cell r="E43">
            <v>2010</v>
          </cell>
          <cell r="F43">
            <v>795</v>
          </cell>
          <cell r="G43">
            <v>531</v>
          </cell>
          <cell r="H43" t="str">
            <v>66.79%</v>
          </cell>
          <cell r="I43">
            <v>70249.26</v>
          </cell>
          <cell r="J43">
            <v>56224.96</v>
          </cell>
          <cell r="K43" t="str">
            <v>80.04%</v>
          </cell>
        </row>
        <row r="44">
          <cell r="B44">
            <v>582</v>
          </cell>
          <cell r="C44" t="str">
            <v>四川太极青羊区十二桥药店</v>
          </cell>
          <cell r="D44" t="str">
            <v/>
          </cell>
          <cell r="E44">
            <v>2011</v>
          </cell>
          <cell r="F44">
            <v>7745</v>
          </cell>
          <cell r="G44">
            <v>1583</v>
          </cell>
          <cell r="H44" t="str">
            <v>20.44%</v>
          </cell>
          <cell r="I44">
            <v>958416.28</v>
          </cell>
          <cell r="J44">
            <v>423982.7</v>
          </cell>
          <cell r="K44" t="str">
            <v>44.24%</v>
          </cell>
        </row>
        <row r="45">
          <cell r="B45">
            <v>712</v>
          </cell>
          <cell r="C45" t="str">
            <v>四川太极成华区华泰路药店</v>
          </cell>
          <cell r="D45" t="str">
            <v/>
          </cell>
          <cell r="E45">
            <v>2011</v>
          </cell>
          <cell r="F45">
            <v>5391</v>
          </cell>
          <cell r="G45">
            <v>3147</v>
          </cell>
          <cell r="H45" t="str">
            <v>58.38%</v>
          </cell>
          <cell r="I45">
            <v>380697.96</v>
          </cell>
          <cell r="J45">
            <v>268631</v>
          </cell>
          <cell r="K45" t="str">
            <v>70.56%</v>
          </cell>
        </row>
        <row r="46">
          <cell r="B46">
            <v>730</v>
          </cell>
          <cell r="C46" t="str">
            <v>四川太极新都区新繁镇繁江北路药店</v>
          </cell>
          <cell r="D46" t="str">
            <v/>
          </cell>
          <cell r="E46">
            <v>2011</v>
          </cell>
          <cell r="F46">
            <v>4859</v>
          </cell>
          <cell r="G46">
            <v>2131</v>
          </cell>
          <cell r="H46" t="str">
            <v>43.86%</v>
          </cell>
          <cell r="I46">
            <v>370873.25</v>
          </cell>
          <cell r="J46">
            <v>251366.48</v>
          </cell>
          <cell r="K46" t="str">
            <v>67.78%</v>
          </cell>
        </row>
        <row r="47">
          <cell r="B47">
            <v>585</v>
          </cell>
          <cell r="C47" t="str">
            <v>四川太极成华区羊子山西路药店（兴元华盛）</v>
          </cell>
          <cell r="D47" t="str">
            <v/>
          </cell>
          <cell r="E47">
            <v>2011</v>
          </cell>
          <cell r="F47">
            <v>4475</v>
          </cell>
          <cell r="G47">
            <v>2740</v>
          </cell>
          <cell r="H47" t="str">
            <v>61.23%</v>
          </cell>
          <cell r="I47">
            <v>350586.83</v>
          </cell>
          <cell r="J47">
            <v>261554.69</v>
          </cell>
          <cell r="K47" t="str">
            <v>74.6%</v>
          </cell>
        </row>
        <row r="48">
          <cell r="B48">
            <v>581</v>
          </cell>
          <cell r="C48" t="str">
            <v>四川太极成华区二环路北四段药店（汇融名城）</v>
          </cell>
          <cell r="D48" t="str">
            <v>是</v>
          </cell>
          <cell r="E48">
            <v>2011</v>
          </cell>
          <cell r="F48">
            <v>5412</v>
          </cell>
          <cell r="G48">
            <v>3276</v>
          </cell>
          <cell r="H48" t="str">
            <v>60.53%</v>
          </cell>
          <cell r="I48">
            <v>322270.55</v>
          </cell>
          <cell r="J48">
            <v>235595.66</v>
          </cell>
          <cell r="K48" t="str">
            <v>73.1%</v>
          </cell>
        </row>
        <row r="49">
          <cell r="B49">
            <v>707</v>
          </cell>
          <cell r="C49" t="str">
            <v>四川太极成华区万科路药店</v>
          </cell>
          <cell r="D49" t="str">
            <v/>
          </cell>
          <cell r="E49">
            <v>2011</v>
          </cell>
          <cell r="F49">
            <v>4389</v>
          </cell>
          <cell r="G49">
            <v>3041</v>
          </cell>
          <cell r="H49" t="str">
            <v>69.29%</v>
          </cell>
          <cell r="I49">
            <v>314472.11</v>
          </cell>
          <cell r="J49">
            <v>251091.99</v>
          </cell>
          <cell r="K49" t="str">
            <v>79.85%</v>
          </cell>
        </row>
        <row r="50">
          <cell r="B50">
            <v>724</v>
          </cell>
          <cell r="C50" t="str">
            <v>四川太极锦江区观音桥街药店</v>
          </cell>
          <cell r="D50" t="str">
            <v/>
          </cell>
          <cell r="E50">
            <v>2011</v>
          </cell>
          <cell r="F50">
            <v>4563</v>
          </cell>
          <cell r="G50">
            <v>3259</v>
          </cell>
          <cell r="H50" t="str">
            <v>71.42%</v>
          </cell>
          <cell r="I50">
            <v>275587.66</v>
          </cell>
          <cell r="J50">
            <v>229402.05</v>
          </cell>
          <cell r="K50" t="str">
            <v>83.24%</v>
          </cell>
        </row>
        <row r="51">
          <cell r="B51">
            <v>726</v>
          </cell>
          <cell r="C51" t="str">
            <v>四川太极金牛区交大路第三药店</v>
          </cell>
          <cell r="D51" t="str">
            <v/>
          </cell>
          <cell r="E51">
            <v>2011</v>
          </cell>
          <cell r="F51">
            <v>3519</v>
          </cell>
          <cell r="G51">
            <v>2043</v>
          </cell>
          <cell r="H51" t="str">
            <v>58.06%</v>
          </cell>
          <cell r="I51">
            <v>273670.36</v>
          </cell>
          <cell r="J51">
            <v>201804.43</v>
          </cell>
          <cell r="K51" t="str">
            <v>73.74%</v>
          </cell>
        </row>
        <row r="52">
          <cell r="B52">
            <v>709</v>
          </cell>
          <cell r="C52" t="str">
            <v>四川太极新都区马超东路店</v>
          </cell>
          <cell r="D52" t="str">
            <v/>
          </cell>
          <cell r="E52">
            <v>2011</v>
          </cell>
          <cell r="F52">
            <v>3862</v>
          </cell>
          <cell r="G52">
            <v>2387</v>
          </cell>
          <cell r="H52" t="str">
            <v>61.81%</v>
          </cell>
          <cell r="I52">
            <v>253819.04</v>
          </cell>
          <cell r="J52">
            <v>199505.7</v>
          </cell>
          <cell r="K52" t="str">
            <v>78.6%</v>
          </cell>
        </row>
        <row r="53">
          <cell r="B53">
            <v>578</v>
          </cell>
          <cell r="C53" t="str">
            <v>四川太极成华区华油路药店</v>
          </cell>
          <cell r="D53" t="str">
            <v/>
          </cell>
          <cell r="E53">
            <v>2011</v>
          </cell>
          <cell r="F53">
            <v>4082</v>
          </cell>
          <cell r="G53">
            <v>2571</v>
          </cell>
          <cell r="H53" t="str">
            <v>62.98%</v>
          </cell>
          <cell r="I53">
            <v>253150.07</v>
          </cell>
          <cell r="J53">
            <v>196199.83</v>
          </cell>
          <cell r="K53" t="str">
            <v>77.5%</v>
          </cell>
        </row>
        <row r="54">
          <cell r="B54">
            <v>598</v>
          </cell>
          <cell r="C54" t="str">
            <v>四川太极锦江区水杉街药店</v>
          </cell>
          <cell r="D54" t="str">
            <v/>
          </cell>
          <cell r="E54">
            <v>2011</v>
          </cell>
          <cell r="F54">
            <v>3040</v>
          </cell>
          <cell r="G54">
            <v>1775</v>
          </cell>
          <cell r="H54" t="str">
            <v>58.39%</v>
          </cell>
          <cell r="I54">
            <v>205812.64</v>
          </cell>
          <cell r="J54">
            <v>156029.15</v>
          </cell>
          <cell r="K54" t="str">
            <v>75.81%</v>
          </cell>
        </row>
        <row r="55">
          <cell r="B55">
            <v>737</v>
          </cell>
          <cell r="C55" t="str">
            <v>四川太极高新区大源北街药店</v>
          </cell>
          <cell r="D55" t="str">
            <v/>
          </cell>
          <cell r="E55">
            <v>2011</v>
          </cell>
          <cell r="F55">
            <v>3198</v>
          </cell>
          <cell r="G55">
            <v>1671</v>
          </cell>
          <cell r="H55" t="str">
            <v>52.25%</v>
          </cell>
          <cell r="I55">
            <v>197662.66</v>
          </cell>
          <cell r="J55">
            <v>127801.92</v>
          </cell>
          <cell r="K55" t="str">
            <v>64.66%</v>
          </cell>
        </row>
        <row r="56">
          <cell r="B56">
            <v>704</v>
          </cell>
          <cell r="C56" t="str">
            <v>四川太极都江堰奎光路中段药店</v>
          </cell>
          <cell r="D56" t="str">
            <v/>
          </cell>
          <cell r="E56">
            <v>2011</v>
          </cell>
          <cell r="F56">
            <v>1831</v>
          </cell>
          <cell r="G56">
            <v>1154</v>
          </cell>
          <cell r="H56" t="str">
            <v>63.03%</v>
          </cell>
          <cell r="I56">
            <v>181996.71</v>
          </cell>
          <cell r="J56">
            <v>139813.05</v>
          </cell>
          <cell r="K56" t="str">
            <v>76.82%</v>
          </cell>
        </row>
        <row r="57">
          <cell r="B57">
            <v>584</v>
          </cell>
          <cell r="C57" t="str">
            <v>四川太极高新区中和街道柳荫街药店</v>
          </cell>
          <cell r="D57" t="str">
            <v/>
          </cell>
          <cell r="E57">
            <v>2011</v>
          </cell>
          <cell r="F57">
            <v>2685</v>
          </cell>
          <cell r="G57">
            <v>1406</v>
          </cell>
          <cell r="H57" t="str">
            <v>52.36%</v>
          </cell>
          <cell r="I57">
            <v>181976.39</v>
          </cell>
          <cell r="J57">
            <v>130604.34</v>
          </cell>
          <cell r="K57" t="str">
            <v>71.77%</v>
          </cell>
        </row>
        <row r="58">
          <cell r="B58">
            <v>587</v>
          </cell>
          <cell r="C58" t="str">
            <v>四川太极都江堰景中路店</v>
          </cell>
          <cell r="D58" t="str">
            <v/>
          </cell>
          <cell r="E58">
            <v>2011</v>
          </cell>
          <cell r="F58">
            <v>1782</v>
          </cell>
          <cell r="G58">
            <v>1260</v>
          </cell>
          <cell r="H58" t="str">
            <v>70.71%</v>
          </cell>
          <cell r="I58">
            <v>156001.72</v>
          </cell>
          <cell r="J58">
            <v>130226.06</v>
          </cell>
          <cell r="K58" t="str">
            <v>83.48%</v>
          </cell>
        </row>
        <row r="59">
          <cell r="B59">
            <v>721</v>
          </cell>
          <cell r="C59" t="str">
            <v>四川太极邛崃市临邛镇洪川小区药店</v>
          </cell>
          <cell r="D59" t="str">
            <v/>
          </cell>
          <cell r="E59">
            <v>2011</v>
          </cell>
          <cell r="F59">
            <v>2561</v>
          </cell>
          <cell r="G59">
            <v>2023</v>
          </cell>
          <cell r="H59" t="str">
            <v>78.99%</v>
          </cell>
          <cell r="I59">
            <v>150216.53</v>
          </cell>
          <cell r="J59">
            <v>128659.49</v>
          </cell>
          <cell r="K59" t="str">
            <v>85.65%</v>
          </cell>
        </row>
        <row r="60">
          <cell r="B60">
            <v>591</v>
          </cell>
          <cell r="C60" t="str">
            <v>四川太极邛崃市临邛镇长安大道药店</v>
          </cell>
          <cell r="D60" t="str">
            <v/>
          </cell>
          <cell r="E60">
            <v>2011</v>
          </cell>
          <cell r="F60">
            <v>2114</v>
          </cell>
          <cell r="G60">
            <v>1180</v>
          </cell>
          <cell r="H60" t="str">
            <v>55.82%</v>
          </cell>
          <cell r="I60">
            <v>140875.21</v>
          </cell>
          <cell r="J60">
            <v>107146.17</v>
          </cell>
          <cell r="K60" t="str">
            <v>76.06%</v>
          </cell>
        </row>
        <row r="61">
          <cell r="B61">
            <v>727</v>
          </cell>
          <cell r="C61" t="str">
            <v>四川太极金牛区黄苑东街药店</v>
          </cell>
          <cell r="D61" t="str">
            <v/>
          </cell>
          <cell r="E61">
            <v>2011</v>
          </cell>
          <cell r="F61">
            <v>1985</v>
          </cell>
          <cell r="G61">
            <v>1260</v>
          </cell>
          <cell r="H61" t="str">
            <v>63.48%</v>
          </cell>
          <cell r="I61">
            <v>139344.47</v>
          </cell>
          <cell r="J61">
            <v>103600.07</v>
          </cell>
          <cell r="K61" t="str">
            <v>74.35%</v>
          </cell>
        </row>
        <row r="62">
          <cell r="B62">
            <v>717</v>
          </cell>
          <cell r="C62" t="str">
            <v>四川太极大邑县晋原镇通达东路五段药店</v>
          </cell>
          <cell r="D62" t="str">
            <v/>
          </cell>
          <cell r="E62">
            <v>2011</v>
          </cell>
          <cell r="F62">
            <v>2079</v>
          </cell>
          <cell r="G62">
            <v>1239</v>
          </cell>
          <cell r="H62" t="str">
            <v>59.6%</v>
          </cell>
          <cell r="I62">
            <v>133997.24</v>
          </cell>
          <cell r="J62">
            <v>97416.99</v>
          </cell>
          <cell r="K62" t="str">
            <v>72.7%</v>
          </cell>
        </row>
        <row r="63">
          <cell r="B63">
            <v>716</v>
          </cell>
          <cell r="C63" t="str">
            <v>四川太极大邑县沙渠镇方圆路药店</v>
          </cell>
          <cell r="D63" t="str">
            <v/>
          </cell>
          <cell r="E63">
            <v>2011</v>
          </cell>
          <cell r="F63">
            <v>2287</v>
          </cell>
          <cell r="G63">
            <v>1607</v>
          </cell>
          <cell r="H63" t="str">
            <v>70.27%</v>
          </cell>
          <cell r="I63">
            <v>131844.16</v>
          </cell>
          <cell r="J63">
            <v>108646.84</v>
          </cell>
          <cell r="K63" t="str">
            <v>82.41%</v>
          </cell>
        </row>
        <row r="64">
          <cell r="B64">
            <v>723</v>
          </cell>
          <cell r="C64" t="str">
            <v>四川太极锦江区柳翠路药店</v>
          </cell>
          <cell r="D64" t="str">
            <v/>
          </cell>
          <cell r="E64">
            <v>2011</v>
          </cell>
          <cell r="F64">
            <v>2241</v>
          </cell>
          <cell r="G64">
            <v>1543</v>
          </cell>
          <cell r="H64" t="str">
            <v>68.85%</v>
          </cell>
          <cell r="I64">
            <v>118280.25</v>
          </cell>
          <cell r="J64">
            <v>89990.57</v>
          </cell>
          <cell r="K64" t="str">
            <v>76.08%</v>
          </cell>
        </row>
        <row r="65">
          <cell r="B65">
            <v>594</v>
          </cell>
          <cell r="C65" t="str">
            <v>四川太极大邑县安仁镇千禧街药店</v>
          </cell>
          <cell r="D65" t="str">
            <v/>
          </cell>
          <cell r="E65">
            <v>2011</v>
          </cell>
          <cell r="F65">
            <v>1718</v>
          </cell>
          <cell r="G65">
            <v>1075</v>
          </cell>
          <cell r="H65" t="str">
            <v>62.57%</v>
          </cell>
          <cell r="I65">
            <v>113881.33</v>
          </cell>
          <cell r="J65">
            <v>92774.01</v>
          </cell>
          <cell r="K65" t="str">
            <v>81.47%</v>
          </cell>
        </row>
        <row r="66">
          <cell r="B66">
            <v>706</v>
          </cell>
          <cell r="C66" t="str">
            <v>四川太极都江堰幸福镇翔凤路药店</v>
          </cell>
          <cell r="D66" t="str">
            <v/>
          </cell>
          <cell r="E66">
            <v>2011</v>
          </cell>
          <cell r="F66">
            <v>1624</v>
          </cell>
          <cell r="G66">
            <v>1055</v>
          </cell>
          <cell r="H66" t="str">
            <v>64.96%</v>
          </cell>
          <cell r="I66">
            <v>106324.08</v>
          </cell>
          <cell r="J66">
            <v>82502.89</v>
          </cell>
          <cell r="K66" t="str">
            <v>77.6%</v>
          </cell>
        </row>
        <row r="67">
          <cell r="B67">
            <v>738</v>
          </cell>
          <cell r="C67" t="str">
            <v>四川太极都江堰市蒲阳路药店</v>
          </cell>
          <cell r="D67" t="str">
            <v/>
          </cell>
          <cell r="E67">
            <v>2011</v>
          </cell>
          <cell r="F67">
            <v>1605</v>
          </cell>
          <cell r="G67">
            <v>1069</v>
          </cell>
          <cell r="H67" t="str">
            <v>66.6%</v>
          </cell>
          <cell r="I67">
            <v>105947.88</v>
          </cell>
          <cell r="J67">
            <v>87852.25</v>
          </cell>
          <cell r="K67" t="str">
            <v>82.92%</v>
          </cell>
        </row>
        <row r="68">
          <cell r="B68">
            <v>733</v>
          </cell>
          <cell r="C68" t="str">
            <v>四川太极双流区东升街道三强西路药店</v>
          </cell>
          <cell r="D68" t="str">
            <v/>
          </cell>
          <cell r="E68">
            <v>2011</v>
          </cell>
          <cell r="F68">
            <v>2030</v>
          </cell>
          <cell r="G68">
            <v>1009</v>
          </cell>
          <cell r="H68" t="str">
            <v>49.7%</v>
          </cell>
          <cell r="I68">
            <v>99415.83</v>
          </cell>
          <cell r="J68">
            <v>62262.31</v>
          </cell>
          <cell r="K68" t="str">
            <v>62.63%</v>
          </cell>
        </row>
        <row r="69">
          <cell r="B69">
            <v>720</v>
          </cell>
          <cell r="C69" t="str">
            <v>四川太极大邑县新场镇文昌街药店</v>
          </cell>
          <cell r="D69" t="str">
            <v/>
          </cell>
          <cell r="E69">
            <v>2011</v>
          </cell>
          <cell r="F69">
            <v>1686</v>
          </cell>
          <cell r="G69">
            <v>1116</v>
          </cell>
          <cell r="H69" t="str">
            <v>66.19%</v>
          </cell>
          <cell r="I69">
            <v>95531.05</v>
          </cell>
          <cell r="J69">
            <v>76844.34</v>
          </cell>
          <cell r="K69" t="str">
            <v>80.44%</v>
          </cell>
        </row>
        <row r="70">
          <cell r="B70">
            <v>732</v>
          </cell>
          <cell r="C70" t="str">
            <v>四川太极邛崃市羊安镇永康大道药店</v>
          </cell>
          <cell r="D70" t="str">
            <v/>
          </cell>
          <cell r="E70">
            <v>2011</v>
          </cell>
          <cell r="F70">
            <v>1372</v>
          </cell>
          <cell r="G70">
            <v>816</v>
          </cell>
          <cell r="H70" t="str">
            <v>59.48%</v>
          </cell>
          <cell r="I70">
            <v>90939.14</v>
          </cell>
          <cell r="J70">
            <v>67515.57</v>
          </cell>
          <cell r="K70" t="str">
            <v>74.24%</v>
          </cell>
        </row>
        <row r="71">
          <cell r="B71">
            <v>710</v>
          </cell>
          <cell r="C71" t="str">
            <v>四川太极都江堰市蒲阳镇堰问道西路药店</v>
          </cell>
          <cell r="D71" t="str">
            <v/>
          </cell>
          <cell r="E71">
            <v>2011</v>
          </cell>
          <cell r="F71">
            <v>1713</v>
          </cell>
          <cell r="G71">
            <v>1019</v>
          </cell>
          <cell r="H71" t="str">
            <v>59.49%</v>
          </cell>
          <cell r="I71">
            <v>88532.47</v>
          </cell>
          <cell r="J71">
            <v>64970.66</v>
          </cell>
          <cell r="K71" t="str">
            <v>73.39%</v>
          </cell>
        </row>
        <row r="72">
          <cell r="B72">
            <v>718</v>
          </cell>
          <cell r="C72" t="str">
            <v>四川太极龙泉驿区龙泉街道驿生路药店</v>
          </cell>
          <cell r="D72" t="str">
            <v/>
          </cell>
          <cell r="E72">
            <v>2011</v>
          </cell>
          <cell r="F72">
            <v>1281</v>
          </cell>
          <cell r="G72">
            <v>729</v>
          </cell>
          <cell r="H72" t="str">
            <v>56.91%</v>
          </cell>
          <cell r="I72">
            <v>82694.24</v>
          </cell>
          <cell r="J72">
            <v>59459.48</v>
          </cell>
          <cell r="K72" t="str">
            <v>71.9%</v>
          </cell>
        </row>
        <row r="73">
          <cell r="B73">
            <v>713</v>
          </cell>
          <cell r="C73" t="str">
            <v>四川太极都江堰聚源镇药店</v>
          </cell>
          <cell r="D73" t="str">
            <v/>
          </cell>
          <cell r="E73">
            <v>2011</v>
          </cell>
          <cell r="F73">
            <v>1009</v>
          </cell>
          <cell r="G73">
            <v>737</v>
          </cell>
          <cell r="H73" t="str">
            <v>73.04%</v>
          </cell>
          <cell r="I73">
            <v>80293.74</v>
          </cell>
          <cell r="J73">
            <v>63150.82</v>
          </cell>
          <cell r="K73" t="str">
            <v>78.65%</v>
          </cell>
        </row>
        <row r="74">
          <cell r="B74">
            <v>740</v>
          </cell>
          <cell r="C74" t="str">
            <v>四川太极成华区华康路药店</v>
          </cell>
          <cell r="D74" t="str">
            <v/>
          </cell>
          <cell r="E74">
            <v>2015</v>
          </cell>
          <cell r="F74">
            <v>1966</v>
          </cell>
          <cell r="G74">
            <v>1307</v>
          </cell>
          <cell r="H74" t="str">
            <v>66.48%</v>
          </cell>
          <cell r="I74">
            <v>117939.14</v>
          </cell>
          <cell r="J74">
            <v>93095.39</v>
          </cell>
          <cell r="K74" t="str">
            <v>78.94%</v>
          </cell>
        </row>
        <row r="75">
          <cell r="B75">
            <v>741</v>
          </cell>
          <cell r="C75" t="str">
            <v>四川太极成华区新怡路店</v>
          </cell>
          <cell r="D75" t="str">
            <v/>
          </cell>
          <cell r="E75">
            <v>2015</v>
          </cell>
          <cell r="F75">
            <v>1155</v>
          </cell>
          <cell r="G75">
            <v>798</v>
          </cell>
          <cell r="H75" t="str">
            <v>69.09%</v>
          </cell>
          <cell r="I75">
            <v>73816.7</v>
          </cell>
          <cell r="J75">
            <v>55211.78</v>
          </cell>
          <cell r="K75" t="str">
            <v>74.8%</v>
          </cell>
        </row>
        <row r="76">
          <cell r="B76">
            <v>746</v>
          </cell>
          <cell r="C76" t="str">
            <v>四川太极大邑县晋原镇内蒙古大道桃源药店</v>
          </cell>
          <cell r="D76" t="str">
            <v/>
          </cell>
          <cell r="E76">
            <v>2016</v>
          </cell>
          <cell r="F76">
            <v>3462</v>
          </cell>
          <cell r="G76">
            <v>2292</v>
          </cell>
          <cell r="H76" t="str">
            <v>66.2%</v>
          </cell>
          <cell r="I76">
            <v>198323.28</v>
          </cell>
          <cell r="J76">
            <v>157456.23</v>
          </cell>
          <cell r="K76" t="str">
            <v>79.39%</v>
          </cell>
        </row>
        <row r="77">
          <cell r="B77">
            <v>750</v>
          </cell>
          <cell r="C77" t="str">
            <v>成都成汉太极大药房有限公司</v>
          </cell>
          <cell r="D77" t="str">
            <v/>
          </cell>
          <cell r="E77" t="str">
            <v/>
          </cell>
          <cell r="F77">
            <v>8297</v>
          </cell>
          <cell r="G77">
            <v>4275</v>
          </cell>
          <cell r="H77" t="str">
            <v>51.52%</v>
          </cell>
          <cell r="I77">
            <v>709350.24</v>
          </cell>
          <cell r="J77">
            <v>477839.02</v>
          </cell>
          <cell r="K77" t="str">
            <v>67.36%</v>
          </cell>
        </row>
        <row r="78">
          <cell r="B78">
            <v>744</v>
          </cell>
          <cell r="C78" t="str">
            <v>四川太极武侯区科华街药店</v>
          </cell>
          <cell r="D78" t="str">
            <v/>
          </cell>
          <cell r="E78" t="str">
            <v/>
          </cell>
          <cell r="F78">
            <v>4256</v>
          </cell>
          <cell r="G78">
            <v>2640</v>
          </cell>
          <cell r="H78" t="str">
            <v>62.03%</v>
          </cell>
          <cell r="I78">
            <v>266095.67</v>
          </cell>
          <cell r="J78">
            <v>186908.38</v>
          </cell>
          <cell r="K78" t="str">
            <v>70.24%</v>
          </cell>
        </row>
        <row r="79">
          <cell r="B79">
            <v>742</v>
          </cell>
          <cell r="C79" t="str">
            <v>四川太极锦江区庆云南街药店</v>
          </cell>
          <cell r="D79" t="str">
            <v/>
          </cell>
          <cell r="E79" t="str">
            <v/>
          </cell>
          <cell r="F79">
            <v>2529</v>
          </cell>
          <cell r="G79">
            <v>663</v>
          </cell>
          <cell r="H79" t="str">
            <v>26.22%</v>
          </cell>
          <cell r="I79">
            <v>260764.08</v>
          </cell>
          <cell r="J79">
            <v>145586.44</v>
          </cell>
          <cell r="K79" t="str">
            <v>55.83%</v>
          </cell>
        </row>
        <row r="80">
          <cell r="B80">
            <v>754</v>
          </cell>
          <cell r="C80" t="str">
            <v>四川太极崇州市崇阳镇尚贤坊街药店</v>
          </cell>
          <cell r="D80" t="str">
            <v/>
          </cell>
          <cell r="E80" t="str">
            <v/>
          </cell>
          <cell r="F80">
            <v>3358</v>
          </cell>
          <cell r="G80">
            <v>1376</v>
          </cell>
          <cell r="H80" t="str">
            <v>40.98%</v>
          </cell>
          <cell r="I80">
            <v>257553.37</v>
          </cell>
          <cell r="J80">
            <v>149561.87</v>
          </cell>
          <cell r="K80" t="str">
            <v>58.07%</v>
          </cell>
        </row>
        <row r="81">
          <cell r="B81">
            <v>102934</v>
          </cell>
          <cell r="C81" t="str">
            <v>四川太极大药房连锁有限公司金牛区银河北街药店</v>
          </cell>
          <cell r="D81" t="str">
            <v/>
          </cell>
          <cell r="E81" t="str">
            <v/>
          </cell>
          <cell r="F81">
            <v>3864</v>
          </cell>
          <cell r="G81">
            <v>2491</v>
          </cell>
          <cell r="H81" t="str">
            <v>64.47%</v>
          </cell>
          <cell r="I81">
            <v>255858.18</v>
          </cell>
          <cell r="J81">
            <v>182006.52</v>
          </cell>
          <cell r="K81" t="str">
            <v>71.14%</v>
          </cell>
        </row>
        <row r="82">
          <cell r="B82">
            <v>747</v>
          </cell>
          <cell r="C82" t="str">
            <v>四川太极郫县郫筒镇一环路东南段药店</v>
          </cell>
          <cell r="D82" t="str">
            <v/>
          </cell>
          <cell r="E82" t="str">
            <v/>
          </cell>
          <cell r="F82">
            <v>2391</v>
          </cell>
          <cell r="G82">
            <v>1395</v>
          </cell>
          <cell r="H82" t="str">
            <v>58.34%</v>
          </cell>
          <cell r="I82">
            <v>254949.9</v>
          </cell>
          <cell r="J82">
            <v>194487.93</v>
          </cell>
          <cell r="K82" t="str">
            <v>76.28%</v>
          </cell>
        </row>
        <row r="83">
          <cell r="B83">
            <v>103198</v>
          </cell>
          <cell r="C83" t="str">
            <v>四川太极大药房连锁有限公司青羊区贝森北路药店</v>
          </cell>
          <cell r="D83" t="str">
            <v/>
          </cell>
          <cell r="E83" t="str">
            <v/>
          </cell>
          <cell r="F83">
            <v>3058</v>
          </cell>
          <cell r="G83">
            <v>1710</v>
          </cell>
          <cell r="H83" t="str">
            <v>55.92%</v>
          </cell>
          <cell r="I83">
            <v>184932.814</v>
          </cell>
          <cell r="J83">
            <v>133225.7</v>
          </cell>
          <cell r="K83" t="str">
            <v>72.04%</v>
          </cell>
        </row>
        <row r="84">
          <cell r="B84">
            <v>101453</v>
          </cell>
          <cell r="C84" t="str">
            <v>四川太极温江区公平街道江安路药店</v>
          </cell>
          <cell r="D84" t="str">
            <v/>
          </cell>
          <cell r="E84" t="str">
            <v/>
          </cell>
          <cell r="F84">
            <v>2845</v>
          </cell>
          <cell r="G84">
            <v>1654</v>
          </cell>
          <cell r="H84" t="str">
            <v>58.14%</v>
          </cell>
          <cell r="I84">
            <v>173302.49</v>
          </cell>
          <cell r="J84">
            <v>124752.05</v>
          </cell>
          <cell r="K84" t="str">
            <v>71.99%</v>
          </cell>
        </row>
        <row r="85">
          <cell r="B85">
            <v>745</v>
          </cell>
          <cell r="C85" t="str">
            <v>四川太极金牛区金沙路药店</v>
          </cell>
          <cell r="D85" t="str">
            <v/>
          </cell>
          <cell r="E85" t="str">
            <v/>
          </cell>
          <cell r="F85">
            <v>2653</v>
          </cell>
          <cell r="G85">
            <v>1556</v>
          </cell>
          <cell r="H85" t="str">
            <v>58.65%</v>
          </cell>
          <cell r="I85">
            <v>164299.95</v>
          </cell>
          <cell r="J85">
            <v>106277.53</v>
          </cell>
          <cell r="K85" t="str">
            <v>64.69%</v>
          </cell>
        </row>
        <row r="86">
          <cell r="B86">
            <v>103639</v>
          </cell>
          <cell r="C86" t="str">
            <v>四川太极成华区金马河路药店</v>
          </cell>
          <cell r="D86" t="str">
            <v/>
          </cell>
          <cell r="E86" t="str">
            <v/>
          </cell>
          <cell r="F86">
            <v>2474</v>
          </cell>
          <cell r="G86">
            <v>1414</v>
          </cell>
          <cell r="H86" t="str">
            <v>57.15%</v>
          </cell>
          <cell r="I86">
            <v>160077.2</v>
          </cell>
          <cell r="J86">
            <v>103844.5</v>
          </cell>
          <cell r="K86" t="str">
            <v>64.87%</v>
          </cell>
        </row>
        <row r="87">
          <cell r="B87">
            <v>102565</v>
          </cell>
          <cell r="C87" t="str">
            <v>四川太极武侯区佳灵路药店</v>
          </cell>
          <cell r="D87" t="str">
            <v/>
          </cell>
          <cell r="E87" t="str">
            <v/>
          </cell>
          <cell r="F87">
            <v>3298</v>
          </cell>
          <cell r="G87">
            <v>1136</v>
          </cell>
          <cell r="H87" t="str">
            <v>34.45%</v>
          </cell>
          <cell r="I87">
            <v>157882.78</v>
          </cell>
          <cell r="J87">
            <v>73459.38</v>
          </cell>
          <cell r="K87" t="str">
            <v>46.53%</v>
          </cell>
        </row>
        <row r="88">
          <cell r="B88">
            <v>748</v>
          </cell>
          <cell r="C88" t="str">
            <v>四川太极大邑县晋原镇东街药店</v>
          </cell>
          <cell r="D88" t="str">
            <v/>
          </cell>
          <cell r="E88" t="str">
            <v/>
          </cell>
          <cell r="F88">
            <v>2133</v>
          </cell>
          <cell r="G88">
            <v>1368</v>
          </cell>
          <cell r="H88" t="str">
            <v>64.14%</v>
          </cell>
          <cell r="I88">
            <v>148144.58</v>
          </cell>
          <cell r="J88">
            <v>117326.62</v>
          </cell>
          <cell r="K88" t="str">
            <v>79.2%</v>
          </cell>
        </row>
        <row r="89">
          <cell r="B89">
            <v>102479</v>
          </cell>
          <cell r="C89" t="str">
            <v>四川太极锦江区劼人路药店</v>
          </cell>
          <cell r="D89" t="str">
            <v/>
          </cell>
          <cell r="E89" t="str">
            <v/>
          </cell>
          <cell r="F89">
            <v>2798</v>
          </cell>
          <cell r="G89">
            <v>1606</v>
          </cell>
          <cell r="H89" t="str">
            <v>57.4%</v>
          </cell>
          <cell r="I89">
            <v>138911.78</v>
          </cell>
          <cell r="J89">
            <v>103196.55</v>
          </cell>
          <cell r="K89" t="str">
            <v>74.29%</v>
          </cell>
        </row>
        <row r="90">
          <cell r="B90">
            <v>102935</v>
          </cell>
          <cell r="C90" t="str">
            <v>四川太极大药房连锁有限公司青羊区童子街药店</v>
          </cell>
          <cell r="D90" t="str">
            <v/>
          </cell>
          <cell r="E90" t="str">
            <v/>
          </cell>
          <cell r="F90">
            <v>2429</v>
          </cell>
          <cell r="G90">
            <v>1393</v>
          </cell>
          <cell r="H90" t="str">
            <v>57.35%</v>
          </cell>
          <cell r="I90">
            <v>136476.79</v>
          </cell>
          <cell r="J90">
            <v>99157.57</v>
          </cell>
          <cell r="K90" t="str">
            <v>72.66%</v>
          </cell>
        </row>
        <row r="91">
          <cell r="B91">
            <v>103199</v>
          </cell>
          <cell r="C91" t="str">
            <v>四川太极大药房连锁有限公司成华区西林一街药店</v>
          </cell>
          <cell r="D91" t="str">
            <v/>
          </cell>
          <cell r="E91" t="str">
            <v/>
          </cell>
          <cell r="F91">
            <v>2623</v>
          </cell>
          <cell r="G91">
            <v>1290</v>
          </cell>
          <cell r="H91" t="str">
            <v>49.18%</v>
          </cell>
          <cell r="I91">
            <v>135531.09</v>
          </cell>
          <cell r="J91">
            <v>82011.94</v>
          </cell>
          <cell r="K91" t="str">
            <v>60.51%</v>
          </cell>
        </row>
        <row r="92">
          <cell r="B92">
            <v>743</v>
          </cell>
          <cell r="C92" t="str">
            <v>四川太极成华区万宇路药店</v>
          </cell>
          <cell r="D92" t="str">
            <v/>
          </cell>
          <cell r="E92" t="str">
            <v/>
          </cell>
          <cell r="F92">
            <v>2800</v>
          </cell>
          <cell r="G92">
            <v>1620</v>
          </cell>
          <cell r="H92" t="str">
            <v>57.86%</v>
          </cell>
          <cell r="I92">
            <v>131285.07</v>
          </cell>
          <cell r="J92">
            <v>88758.38</v>
          </cell>
          <cell r="K92" t="str">
            <v>67.61%</v>
          </cell>
        </row>
        <row r="93">
          <cell r="B93">
            <v>752</v>
          </cell>
          <cell r="C93" t="str">
            <v>四川太极大药房连锁有限公司武侯区聚萃街药店</v>
          </cell>
          <cell r="D93" t="str">
            <v/>
          </cell>
          <cell r="E93" t="str">
            <v/>
          </cell>
          <cell r="F93">
            <v>2054</v>
          </cell>
          <cell r="G93">
            <v>1291</v>
          </cell>
          <cell r="H93" t="str">
            <v>62.85%</v>
          </cell>
          <cell r="I93">
            <v>124943.81</v>
          </cell>
          <cell r="J93">
            <v>91621.63</v>
          </cell>
          <cell r="K93" t="str">
            <v>73.33%</v>
          </cell>
        </row>
        <row r="94">
          <cell r="B94">
            <v>753</v>
          </cell>
          <cell r="C94" t="str">
            <v>四川太极锦江区合欢树街药店</v>
          </cell>
          <cell r="D94" t="str">
            <v/>
          </cell>
          <cell r="E94" t="str">
            <v/>
          </cell>
          <cell r="F94">
            <v>1473</v>
          </cell>
          <cell r="G94">
            <v>1090</v>
          </cell>
          <cell r="H94" t="str">
            <v>74%</v>
          </cell>
          <cell r="I94">
            <v>96902.84</v>
          </cell>
          <cell r="J94">
            <v>76805.62</v>
          </cell>
          <cell r="K94" t="str">
            <v>79.26%</v>
          </cell>
        </row>
        <row r="95">
          <cell r="B95">
            <v>102478</v>
          </cell>
          <cell r="C95" t="str">
            <v>四川太极锦江区静明路药店</v>
          </cell>
          <cell r="D95" t="str">
            <v/>
          </cell>
          <cell r="E95" t="str">
            <v/>
          </cell>
          <cell r="F95">
            <v>1511</v>
          </cell>
          <cell r="G95">
            <v>957</v>
          </cell>
          <cell r="H95" t="str">
            <v>63.34%</v>
          </cell>
          <cell r="I95">
            <v>94080.64</v>
          </cell>
          <cell r="J95">
            <v>73681.8</v>
          </cell>
          <cell r="K95" t="str">
            <v>78.32%</v>
          </cell>
        </row>
        <row r="96">
          <cell r="B96">
            <v>102567</v>
          </cell>
          <cell r="C96" t="str">
            <v>四川太极新津县五津镇武阳西路药店</v>
          </cell>
          <cell r="D96" t="str">
            <v/>
          </cell>
          <cell r="E96" t="str">
            <v/>
          </cell>
          <cell r="F96">
            <v>1424</v>
          </cell>
          <cell r="G96">
            <v>839</v>
          </cell>
          <cell r="H96" t="str">
            <v>58.92%</v>
          </cell>
          <cell r="I96">
            <v>91194.75</v>
          </cell>
          <cell r="J96">
            <v>68276.22</v>
          </cell>
          <cell r="K96" t="str">
            <v>74.87%</v>
          </cell>
        </row>
        <row r="97">
          <cell r="B97">
            <v>102564</v>
          </cell>
          <cell r="C97" t="str">
            <v>四川太极邛崃市临邛镇翠荫街药店</v>
          </cell>
          <cell r="D97" t="str">
            <v/>
          </cell>
          <cell r="E97" t="str">
            <v/>
          </cell>
          <cell r="F97">
            <v>1371</v>
          </cell>
          <cell r="G97">
            <v>953</v>
          </cell>
          <cell r="H97" t="str">
            <v>69.51%</v>
          </cell>
          <cell r="I97">
            <v>81318.42</v>
          </cell>
          <cell r="J97">
            <v>66303.57</v>
          </cell>
          <cell r="K97" t="str">
            <v>81.54%</v>
          </cell>
        </row>
        <row r="98">
          <cell r="B98">
            <v>104429</v>
          </cell>
          <cell r="C98" t="str">
            <v>四川太极武侯区大华街药店</v>
          </cell>
          <cell r="D98" t="str">
            <v/>
          </cell>
          <cell r="E98" t="str">
            <v/>
          </cell>
          <cell r="F98">
            <v>1163</v>
          </cell>
          <cell r="G98">
            <v>337</v>
          </cell>
          <cell r="H98" t="str">
            <v>28.98%</v>
          </cell>
          <cell r="I98">
            <v>79947.55</v>
          </cell>
          <cell r="J98">
            <v>31504</v>
          </cell>
          <cell r="K98" t="str">
            <v>39.41%</v>
          </cell>
        </row>
        <row r="99">
          <cell r="B99">
            <v>104430</v>
          </cell>
          <cell r="C99" t="str">
            <v>四川太极高新区中和大道药店</v>
          </cell>
          <cell r="D99" t="str">
            <v/>
          </cell>
          <cell r="E99" t="str">
            <v/>
          </cell>
          <cell r="F99">
            <v>1453</v>
          </cell>
          <cell r="G99">
            <v>969</v>
          </cell>
          <cell r="H99" t="str">
            <v>66.69%</v>
          </cell>
          <cell r="I99">
            <v>66668.13</v>
          </cell>
          <cell r="J99">
            <v>53255.78</v>
          </cell>
          <cell r="K99" t="str">
            <v>79.88%</v>
          </cell>
        </row>
        <row r="100">
          <cell r="B100">
            <v>104428</v>
          </cell>
          <cell r="C100" t="str">
            <v>四川太极崇州市崇阳镇永康东路药店 </v>
          </cell>
          <cell r="D100" t="str">
            <v/>
          </cell>
          <cell r="E100" t="str">
            <v/>
          </cell>
          <cell r="F100">
            <v>711</v>
          </cell>
          <cell r="G100">
            <v>421</v>
          </cell>
          <cell r="H100" t="str">
            <v>59.21%</v>
          </cell>
          <cell r="I100">
            <v>64148.87</v>
          </cell>
          <cell r="J100">
            <v>43134.98</v>
          </cell>
          <cell r="K100" t="str">
            <v>67.24%</v>
          </cell>
        </row>
        <row r="101">
          <cell r="B101">
            <v>104838</v>
          </cell>
          <cell r="C101" t="str">
            <v>四川太极崇州市崇阳镇蜀州中路药店</v>
          </cell>
          <cell r="D101" t="str">
            <v/>
          </cell>
          <cell r="E101" t="str">
            <v/>
          </cell>
          <cell r="F101">
            <v>1188</v>
          </cell>
          <cell r="G101">
            <v>714</v>
          </cell>
          <cell r="H101" t="str">
            <v>60.1%</v>
          </cell>
          <cell r="I101">
            <v>62422.1</v>
          </cell>
          <cell r="J101">
            <v>47713.94</v>
          </cell>
          <cell r="K101" t="str">
            <v>76.44%</v>
          </cell>
        </row>
        <row r="102">
          <cell r="B102">
            <v>755</v>
          </cell>
          <cell r="C102" t="str">
            <v>四川太极温江区柳城街道鱼凫路药店</v>
          </cell>
          <cell r="D102" t="str">
            <v/>
          </cell>
          <cell r="E102" t="str">
            <v/>
          </cell>
          <cell r="F102">
            <v>1167</v>
          </cell>
          <cell r="G102">
            <v>520</v>
          </cell>
          <cell r="H102" t="str">
            <v>44.56%</v>
          </cell>
          <cell r="I102">
            <v>58582.56</v>
          </cell>
          <cell r="J102">
            <v>32079.73</v>
          </cell>
          <cell r="K102" t="str">
            <v>54.76%</v>
          </cell>
        </row>
        <row r="103">
          <cell r="B103">
            <v>104533</v>
          </cell>
          <cell r="C103" t="str">
            <v>四川太极大邑县晋原镇潘家街药店</v>
          </cell>
          <cell r="D103" t="str">
            <v/>
          </cell>
          <cell r="E103" t="str">
            <v/>
          </cell>
          <cell r="F103">
            <v>1125</v>
          </cell>
          <cell r="G103">
            <v>748</v>
          </cell>
          <cell r="H103" t="str">
            <v>66.49%</v>
          </cell>
          <cell r="I103">
            <v>57927.85</v>
          </cell>
          <cell r="J103">
            <v>45369.55</v>
          </cell>
          <cell r="K103" t="str">
            <v>78.32%</v>
          </cell>
        </row>
        <row r="104">
          <cell r="B104">
            <v>105267</v>
          </cell>
          <cell r="C104" t="str">
            <v>四川太极金牛区蜀汉路药店</v>
          </cell>
          <cell r="D104" t="str">
            <v/>
          </cell>
          <cell r="E104" t="str">
            <v/>
          </cell>
          <cell r="F104">
            <v>1064</v>
          </cell>
          <cell r="G104">
            <v>651</v>
          </cell>
          <cell r="H104" t="str">
            <v>61.18%</v>
          </cell>
          <cell r="I104">
            <v>51097.8</v>
          </cell>
          <cell r="J104">
            <v>38317.8</v>
          </cell>
          <cell r="K104" t="str">
            <v>74.99%</v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>
            <v>304201</v>
          </cell>
          <cell r="G105">
            <v>178634</v>
          </cell>
          <cell r="H105" t="str">
            <v>58.72%</v>
          </cell>
          <cell r="I105">
            <v>23603705.374</v>
          </cell>
          <cell r="J105">
            <v>16679877.48</v>
          </cell>
          <cell r="K105" t="str">
            <v>70.67%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2"/>
  <sheetViews>
    <sheetView tabSelected="1" workbookViewId="0">
      <pane xSplit="5" ySplit="2" topLeftCell="F4" activePane="bottomRight" state="frozen"/>
      <selection/>
      <selection pane="topRight"/>
      <selection pane="bottomLeft"/>
      <selection pane="bottomRight" activeCell="Z6" sqref="Z6"/>
    </sheetView>
  </sheetViews>
  <sheetFormatPr defaultColWidth="9" defaultRowHeight="13.5"/>
  <cols>
    <col min="1" max="1" width="6.125" customWidth="1"/>
    <col min="3" max="3" width="9" style="2"/>
    <col min="4" max="4" width="13.375" style="2" hidden="1" customWidth="1"/>
    <col min="5" max="5" width="25" style="2" customWidth="1"/>
    <col min="6" max="9" width="19" hidden="1" customWidth="1"/>
    <col min="10" max="13" width="7.125" style="3" customWidth="1"/>
    <col min="14" max="15" width="11.5" hidden="1" customWidth="1"/>
    <col min="16" max="16" width="8.125" customWidth="1"/>
    <col min="17" max="17" width="8.125" style="4" hidden="1" customWidth="1"/>
    <col min="18" max="18" width="8.125" hidden="1" customWidth="1"/>
    <col min="19" max="19" width="8.125" customWidth="1"/>
    <col min="20" max="20" width="8.125" style="4" customWidth="1"/>
    <col min="21" max="21" width="7.25" style="4" customWidth="1"/>
    <col min="22" max="22" width="7.625" style="4" customWidth="1"/>
    <col min="23" max="23" width="10" customWidth="1"/>
  </cols>
  <sheetData>
    <row r="1" ht="22.5" spans="1:25">
      <c r="A1" s="5" t="s">
        <v>0</v>
      </c>
      <c r="B1" s="6"/>
      <c r="C1" s="6"/>
      <c r="D1" s="6"/>
      <c r="E1" s="5"/>
      <c r="F1" s="6"/>
      <c r="G1" s="6"/>
      <c r="H1" s="6"/>
      <c r="I1" s="6"/>
      <c r="J1" s="18" t="s">
        <v>1</v>
      </c>
      <c r="K1" s="19"/>
      <c r="L1" s="19"/>
      <c r="M1" s="20"/>
      <c r="N1" s="21"/>
      <c r="O1" s="21"/>
      <c r="P1" s="18" t="s">
        <v>2</v>
      </c>
      <c r="Q1" s="19"/>
      <c r="R1" s="19"/>
      <c r="S1" s="19"/>
      <c r="T1" s="19"/>
      <c r="U1" s="19"/>
      <c r="V1" s="20"/>
      <c r="W1" s="34" t="s">
        <v>3</v>
      </c>
      <c r="X1" s="35"/>
      <c r="Y1" s="42"/>
    </row>
    <row r="2" s="1" customFormat="1" ht="67.5" spans="1:25">
      <c r="A2" s="7" t="s">
        <v>4</v>
      </c>
      <c r="B2" s="7" t="s">
        <v>5</v>
      </c>
      <c r="C2" s="7" t="s">
        <v>6</v>
      </c>
      <c r="D2" s="8" t="s">
        <v>7</v>
      </c>
      <c r="E2" s="9" t="s">
        <v>8</v>
      </c>
      <c r="F2" s="10" t="s">
        <v>9</v>
      </c>
      <c r="G2" s="10" t="s">
        <v>10</v>
      </c>
      <c r="H2" s="10" t="s">
        <v>11</v>
      </c>
      <c r="I2" s="10" t="s">
        <v>12</v>
      </c>
      <c r="J2" s="10" t="s">
        <v>13</v>
      </c>
      <c r="K2" s="10" t="s">
        <v>14</v>
      </c>
      <c r="L2" s="10" t="s">
        <v>15</v>
      </c>
      <c r="M2" s="10" t="s">
        <v>16</v>
      </c>
      <c r="N2" s="22" t="s">
        <v>17</v>
      </c>
      <c r="O2" s="22" t="s">
        <v>18</v>
      </c>
      <c r="P2" s="22" t="s">
        <v>19</v>
      </c>
      <c r="Q2" s="36" t="s">
        <v>20</v>
      </c>
      <c r="R2" s="37"/>
      <c r="S2" s="22" t="s">
        <v>21</v>
      </c>
      <c r="T2" s="22" t="s">
        <v>22</v>
      </c>
      <c r="U2" s="36" t="s">
        <v>23</v>
      </c>
      <c r="V2" s="36" t="s">
        <v>24</v>
      </c>
      <c r="W2" s="38" t="s">
        <v>25</v>
      </c>
      <c r="X2" s="38" t="s">
        <v>16</v>
      </c>
      <c r="Y2" s="38" t="s">
        <v>26</v>
      </c>
    </row>
    <row r="3" spans="1:25">
      <c r="A3" s="11">
        <v>1</v>
      </c>
      <c r="B3" s="11">
        <v>357</v>
      </c>
      <c r="C3" s="11" t="s">
        <v>27</v>
      </c>
      <c r="D3" s="11"/>
      <c r="E3" s="12" t="s">
        <v>28</v>
      </c>
      <c r="F3" s="13">
        <v>139.74</v>
      </c>
      <c r="G3" s="13">
        <f>VLOOKUP(B:B,[2]原表!$D$1:$J$65536,7,0)</f>
        <v>2764</v>
      </c>
      <c r="H3" s="14">
        <v>0.7166</v>
      </c>
      <c r="I3" s="13">
        <f>G3*0.06</f>
        <v>165.84</v>
      </c>
      <c r="J3" s="13">
        <f>ROUND(I3,0)</f>
        <v>166</v>
      </c>
      <c r="K3" s="13">
        <f>VLOOKUP(B:B,[3]Sheet2!$I$1:$J$65536,2,0)</f>
        <v>205</v>
      </c>
      <c r="L3" s="13">
        <f>K3-J3</f>
        <v>39</v>
      </c>
      <c r="M3" s="13"/>
      <c r="N3" s="23">
        <v>0.721446</v>
      </c>
      <c r="O3" s="24">
        <v>0.7166</v>
      </c>
      <c r="P3" s="25">
        <f>O3*1.015</f>
        <v>0.727349</v>
      </c>
      <c r="Q3" s="39">
        <v>164736</v>
      </c>
      <c r="R3" s="40">
        <f>P3*Q3</f>
        <v>119820.564864</v>
      </c>
      <c r="S3" s="40" t="str">
        <f>VLOOKUP(B:B,[4]查询门店会员消费占比!$B$1:$K$65536,10,0)</f>
        <v>71.18%</v>
      </c>
      <c r="T3" s="41">
        <f>(S3-P3)/S3</f>
        <v>-0.021844619275077</v>
      </c>
      <c r="U3" s="39"/>
      <c r="V3" s="39"/>
      <c r="W3" s="42">
        <v>18</v>
      </c>
      <c r="X3" s="42">
        <f>W3*-2</f>
        <v>-36</v>
      </c>
      <c r="Y3" s="42">
        <f>X3+M3</f>
        <v>-36</v>
      </c>
    </row>
    <row r="4" spans="1:25">
      <c r="A4" s="11">
        <v>2</v>
      </c>
      <c r="B4" s="11">
        <v>365</v>
      </c>
      <c r="C4" s="11" t="s">
        <v>27</v>
      </c>
      <c r="D4" s="11"/>
      <c r="E4" s="12" t="s">
        <v>29</v>
      </c>
      <c r="F4" s="13">
        <v>287.04</v>
      </c>
      <c r="G4" s="13">
        <f>VLOOKUP(B:B,[2]原表!$D$1:$J$65536,7,0)</f>
        <v>4102</v>
      </c>
      <c r="H4" s="14">
        <v>0.7433</v>
      </c>
      <c r="I4" s="13">
        <f>G4*0.06</f>
        <v>246.12</v>
      </c>
      <c r="J4" s="13">
        <f t="shared" ref="J4:J35" si="0">ROUND(I4,0)</f>
        <v>246</v>
      </c>
      <c r="K4" s="13">
        <f>VLOOKUP(B:B,[3]Sheet2!$I$1:$J$65536,2,0)</f>
        <v>65</v>
      </c>
      <c r="L4" s="13">
        <f t="shared" ref="L4:L35" si="1">K4-J4</f>
        <v>-181</v>
      </c>
      <c r="M4" s="13">
        <f>L4*2</f>
        <v>-362</v>
      </c>
      <c r="N4" s="23">
        <v>0.647496</v>
      </c>
      <c r="O4" s="24">
        <v>0.7433</v>
      </c>
      <c r="P4" s="25">
        <f>O4*1.015</f>
        <v>0.7544495</v>
      </c>
      <c r="Q4" s="39">
        <v>312000</v>
      </c>
      <c r="R4" s="40">
        <f t="shared" ref="R4:R35" si="2">P4*Q4</f>
        <v>235388.244</v>
      </c>
      <c r="S4" s="40" t="str">
        <f>VLOOKUP(B:B,[4]查询门店会员消费占比!$B$1:$K$65536,10,0)</f>
        <v>77.82%</v>
      </c>
      <c r="T4" s="43">
        <f t="shared" ref="T4:T35" si="3">(S4-P4)/S4</f>
        <v>0.0305197892572604</v>
      </c>
      <c r="U4" s="39"/>
      <c r="V4" s="39"/>
      <c r="W4" s="42">
        <v>238</v>
      </c>
      <c r="X4" s="42">
        <f t="shared" ref="X4:X35" si="4">W4*-2</f>
        <v>-476</v>
      </c>
      <c r="Y4" s="42">
        <f t="shared" ref="Y4:Y35" si="5">X4+M4</f>
        <v>-838</v>
      </c>
    </row>
    <row r="5" spans="1:25">
      <c r="A5" s="11">
        <v>3</v>
      </c>
      <c r="B5" s="11">
        <v>399</v>
      </c>
      <c r="C5" s="11" t="s">
        <v>30</v>
      </c>
      <c r="D5" s="11"/>
      <c r="E5" s="12" t="s">
        <v>31</v>
      </c>
      <c r="F5" s="13">
        <v>167.7</v>
      </c>
      <c r="G5" s="13">
        <f>VLOOKUP(B:B,[2]原表!$D$1:$J$65536,7,0)</f>
        <v>3302</v>
      </c>
      <c r="H5" s="14">
        <v>0.7721</v>
      </c>
      <c r="I5" s="13">
        <f>G5*0.06</f>
        <v>198.12</v>
      </c>
      <c r="J5" s="13">
        <f t="shared" si="0"/>
        <v>198</v>
      </c>
      <c r="K5" s="13">
        <f>VLOOKUP(B:B,[3]Sheet2!$I$1:$J$65536,2,0)</f>
        <v>254</v>
      </c>
      <c r="L5" s="13">
        <f t="shared" si="1"/>
        <v>56</v>
      </c>
      <c r="M5" s="13"/>
      <c r="N5" s="23">
        <v>0.753882</v>
      </c>
      <c r="O5" s="24">
        <v>0.7721</v>
      </c>
      <c r="P5" s="25">
        <f>O5*1.015</f>
        <v>0.7836815</v>
      </c>
      <c r="Q5" s="39">
        <v>224640</v>
      </c>
      <c r="R5" s="40">
        <f t="shared" si="2"/>
        <v>176046.21216</v>
      </c>
      <c r="S5" s="40" t="str">
        <f>VLOOKUP(B:B,[4]查询门店会员消费占比!$B$1:$K$65536,10,0)</f>
        <v>82.61%</v>
      </c>
      <c r="T5" s="43">
        <f t="shared" si="3"/>
        <v>0.0513478997700037</v>
      </c>
      <c r="U5" s="39">
        <v>50</v>
      </c>
      <c r="V5" s="39">
        <v>50</v>
      </c>
      <c r="W5" s="42">
        <v>90</v>
      </c>
      <c r="X5" s="42">
        <f t="shared" si="4"/>
        <v>-180</v>
      </c>
      <c r="Y5" s="42">
        <f t="shared" si="5"/>
        <v>-180</v>
      </c>
    </row>
    <row r="6" spans="1:25">
      <c r="A6" s="11">
        <v>4</v>
      </c>
      <c r="B6" s="11">
        <v>754</v>
      </c>
      <c r="C6" s="11" t="s">
        <v>32</v>
      </c>
      <c r="D6" s="11"/>
      <c r="E6" s="12" t="s">
        <v>33</v>
      </c>
      <c r="F6" s="15">
        <v>292.2</v>
      </c>
      <c r="G6" s="13">
        <f>VLOOKUP(B:B,[2]原表!$D$1:$J$65536,7,0)</f>
        <v>3332</v>
      </c>
      <c r="H6" s="14">
        <v>0.5679</v>
      </c>
      <c r="I6" s="15">
        <f>G6*0.1</f>
        <v>333.2</v>
      </c>
      <c r="J6" s="15">
        <f>ROUND(I6*0.8,0)</f>
        <v>267</v>
      </c>
      <c r="K6" s="13">
        <f>VLOOKUP(B:B,[3]Sheet2!$I$1:$J$65536,2,0)</f>
        <v>299</v>
      </c>
      <c r="L6" s="13">
        <f t="shared" si="1"/>
        <v>32</v>
      </c>
      <c r="M6" s="15"/>
      <c r="N6" s="26">
        <v>0.608328</v>
      </c>
      <c r="O6" s="24">
        <v>0.5679</v>
      </c>
      <c r="P6" s="27">
        <f>O6*1.035</f>
        <v>0.5877765</v>
      </c>
      <c r="Q6" s="39">
        <v>212160</v>
      </c>
      <c r="R6" s="40">
        <f t="shared" si="2"/>
        <v>124702.66224</v>
      </c>
      <c r="S6" s="40" t="str">
        <f>VLOOKUP(B:B,[4]查询门店会员消费占比!$B$1:$K$65536,10,0)</f>
        <v>58.07%</v>
      </c>
      <c r="T6" s="41">
        <f t="shared" si="3"/>
        <v>-0.0121861546409505</v>
      </c>
      <c r="U6" s="39"/>
      <c r="V6" s="39"/>
      <c r="W6" s="42">
        <v>5</v>
      </c>
      <c r="X6" s="42">
        <f t="shared" si="4"/>
        <v>-10</v>
      </c>
      <c r="Y6" s="42">
        <f t="shared" si="5"/>
        <v>-10</v>
      </c>
    </row>
    <row r="7" spans="1:25">
      <c r="A7" s="11">
        <v>5</v>
      </c>
      <c r="B7" s="11">
        <v>351</v>
      </c>
      <c r="C7" s="11" t="s">
        <v>32</v>
      </c>
      <c r="D7" s="11"/>
      <c r="E7" s="12" t="s">
        <v>34</v>
      </c>
      <c r="F7" s="13">
        <v>105.42</v>
      </c>
      <c r="G7" s="13">
        <f>VLOOKUP(B:B,[2]原表!$D$1:$J$65536,7,0)</f>
        <v>2006</v>
      </c>
      <c r="H7" s="14">
        <v>0.8061</v>
      </c>
      <c r="I7" s="13">
        <f>G7*0.04</f>
        <v>80.24</v>
      </c>
      <c r="J7" s="13">
        <f t="shared" si="0"/>
        <v>80</v>
      </c>
      <c r="K7" s="13">
        <f>VLOOKUP(B:B,[3]Sheet2!$I$1:$J$65536,2,0)</f>
        <v>101</v>
      </c>
      <c r="L7" s="13">
        <f t="shared" si="1"/>
        <v>21</v>
      </c>
      <c r="M7" s="13"/>
      <c r="N7" s="28">
        <v>0.804364</v>
      </c>
      <c r="O7" s="24">
        <v>0.8061</v>
      </c>
      <c r="P7" s="28">
        <f>O7*1.01</f>
        <v>0.814161</v>
      </c>
      <c r="Q7" s="39">
        <v>187200</v>
      </c>
      <c r="R7" s="40">
        <f t="shared" si="2"/>
        <v>152410.9392</v>
      </c>
      <c r="S7" s="40" t="str">
        <f>VLOOKUP(B:B,[4]查询门店会员消费占比!$B$1:$K$65536,10,0)</f>
        <v>85.46%</v>
      </c>
      <c r="T7" s="44">
        <f t="shared" si="3"/>
        <v>0.0473192136672126</v>
      </c>
      <c r="U7" s="39">
        <v>100</v>
      </c>
      <c r="V7" s="39"/>
      <c r="W7" s="42">
        <v>8</v>
      </c>
      <c r="X7" s="42">
        <f t="shared" si="4"/>
        <v>-16</v>
      </c>
      <c r="Y7" s="42">
        <f t="shared" si="5"/>
        <v>-16</v>
      </c>
    </row>
    <row r="8" spans="1:25">
      <c r="A8" s="11">
        <v>6</v>
      </c>
      <c r="B8" s="11">
        <v>52</v>
      </c>
      <c r="C8" s="11" t="s">
        <v>32</v>
      </c>
      <c r="D8" s="11"/>
      <c r="E8" s="12" t="s">
        <v>35</v>
      </c>
      <c r="F8" s="13">
        <v>141.96</v>
      </c>
      <c r="G8" s="13">
        <f>VLOOKUP(B:B,[2]原表!$D$1:$J$65536,7,0)</f>
        <v>2672</v>
      </c>
      <c r="H8" s="14">
        <v>0.7598</v>
      </c>
      <c r="I8" s="13">
        <f>G8*0.06</f>
        <v>160.32</v>
      </c>
      <c r="J8" s="13">
        <f t="shared" si="0"/>
        <v>160</v>
      </c>
      <c r="K8" s="13">
        <f>VLOOKUP(B:B,[3]Sheet2!$I$1:$J$65536,2,0)</f>
        <v>20</v>
      </c>
      <c r="L8" s="13">
        <f t="shared" si="1"/>
        <v>-140</v>
      </c>
      <c r="M8" s="13">
        <f>L8*2</f>
        <v>-280</v>
      </c>
      <c r="N8" s="28">
        <v>0.780528</v>
      </c>
      <c r="O8" s="24">
        <v>0.7598</v>
      </c>
      <c r="P8" s="25">
        <f>O8*1.015</f>
        <v>0.771197</v>
      </c>
      <c r="Q8" s="39">
        <v>187200</v>
      </c>
      <c r="R8" s="40">
        <f t="shared" si="2"/>
        <v>144368.0784</v>
      </c>
      <c r="S8" s="40" t="str">
        <f>VLOOKUP(B:B,[4]查询门店会员消费占比!$B$1:$K$65536,10,0)</f>
        <v>79.18%</v>
      </c>
      <c r="T8" s="43">
        <f t="shared" si="3"/>
        <v>0.0260204597120487</v>
      </c>
      <c r="U8" s="39"/>
      <c r="V8" s="39"/>
      <c r="W8" s="42">
        <v>79</v>
      </c>
      <c r="X8" s="42">
        <f t="shared" si="4"/>
        <v>-158</v>
      </c>
      <c r="Y8" s="42">
        <f t="shared" si="5"/>
        <v>-438</v>
      </c>
    </row>
    <row r="9" spans="1:25">
      <c r="A9" s="11">
        <v>7</v>
      </c>
      <c r="B9" s="11">
        <v>359</v>
      </c>
      <c r="C9" s="11" t="s">
        <v>27</v>
      </c>
      <c r="D9" s="11"/>
      <c r="E9" s="12" t="s">
        <v>36</v>
      </c>
      <c r="F9" s="13">
        <v>236.94</v>
      </c>
      <c r="G9" s="13">
        <f>VLOOKUP(B:B,[2]原表!$D$1:$J$65536,7,0)</f>
        <v>4872</v>
      </c>
      <c r="H9" s="16">
        <v>0.74</v>
      </c>
      <c r="I9" s="13">
        <f>G9*0.06</f>
        <v>292.32</v>
      </c>
      <c r="J9" s="13">
        <f t="shared" si="0"/>
        <v>292</v>
      </c>
      <c r="K9" s="13">
        <f>VLOOKUP(B:B,[3]Sheet2!$I$1:$J$65536,2,0)</f>
        <v>326</v>
      </c>
      <c r="L9" s="13">
        <f t="shared" si="1"/>
        <v>34</v>
      </c>
      <c r="M9" s="13"/>
      <c r="N9" s="23">
        <v>0.752352</v>
      </c>
      <c r="O9" s="29">
        <v>0.74</v>
      </c>
      <c r="P9" s="25">
        <f>O9*1.015</f>
        <v>0.7511</v>
      </c>
      <c r="Q9" s="39">
        <v>249600</v>
      </c>
      <c r="R9" s="40">
        <f t="shared" si="2"/>
        <v>187474.56</v>
      </c>
      <c r="S9" s="40" t="str">
        <f>VLOOKUP(B:B,[4]查询门店会员消费占比!$B$1:$K$65536,10,0)</f>
        <v>72.36%</v>
      </c>
      <c r="T9" s="41">
        <f t="shared" si="3"/>
        <v>-0.0380044223327803</v>
      </c>
      <c r="U9" s="39"/>
      <c r="V9" s="39"/>
      <c r="W9" s="42">
        <v>12</v>
      </c>
      <c r="X9" s="42">
        <f t="shared" si="4"/>
        <v>-24</v>
      </c>
      <c r="Y9" s="42">
        <f t="shared" si="5"/>
        <v>-24</v>
      </c>
    </row>
    <row r="10" spans="1:25">
      <c r="A10" s="11">
        <v>8</v>
      </c>
      <c r="B10" s="11">
        <v>572</v>
      </c>
      <c r="C10" s="11" t="s">
        <v>37</v>
      </c>
      <c r="D10" s="11"/>
      <c r="E10" s="12" t="s">
        <v>38</v>
      </c>
      <c r="F10" s="13">
        <v>142.08</v>
      </c>
      <c r="G10" s="13">
        <f>VLOOKUP(B:B,[2]原表!$D$1:$J$65536,7,0)</f>
        <v>2493</v>
      </c>
      <c r="H10" s="14">
        <v>0.7083</v>
      </c>
      <c r="I10" s="13">
        <f>G10*0.06</f>
        <v>149.58</v>
      </c>
      <c r="J10" s="13">
        <f t="shared" si="0"/>
        <v>150</v>
      </c>
      <c r="K10" s="13">
        <f>VLOOKUP(B:B,[3]Sheet2!$I$1:$J$65536,2,0)</f>
        <v>162</v>
      </c>
      <c r="L10" s="13">
        <f t="shared" si="1"/>
        <v>12</v>
      </c>
      <c r="M10" s="13"/>
      <c r="N10" s="23">
        <v>0.723894</v>
      </c>
      <c r="O10" s="24">
        <v>0.7083</v>
      </c>
      <c r="P10" s="25">
        <f>O10*1.015</f>
        <v>0.7189245</v>
      </c>
      <c r="Q10" s="39">
        <v>187200</v>
      </c>
      <c r="R10" s="40">
        <f t="shared" si="2"/>
        <v>134582.6664</v>
      </c>
      <c r="S10" s="40" t="str">
        <f>VLOOKUP(B:B,[4]查询门店会员消费占比!$B$1:$K$65536,10,0)</f>
        <v>73.52%</v>
      </c>
      <c r="T10" s="41">
        <f t="shared" si="3"/>
        <v>0.022137513601741</v>
      </c>
      <c r="U10" s="39"/>
      <c r="V10" s="39"/>
      <c r="W10" s="42">
        <v>10</v>
      </c>
      <c r="X10" s="42">
        <f t="shared" si="4"/>
        <v>-20</v>
      </c>
      <c r="Y10" s="42">
        <f t="shared" si="5"/>
        <v>-20</v>
      </c>
    </row>
    <row r="11" spans="1:25">
      <c r="A11" s="11">
        <v>9</v>
      </c>
      <c r="B11" s="11">
        <v>743</v>
      </c>
      <c r="C11" s="11" t="s">
        <v>30</v>
      </c>
      <c r="D11" s="11"/>
      <c r="E11" s="12" t="s">
        <v>39</v>
      </c>
      <c r="F11" s="13">
        <v>204.48</v>
      </c>
      <c r="G11" s="13">
        <f>VLOOKUP(B:B,[2]原表!$D$1:$J$65536,7,0)</f>
        <v>2973</v>
      </c>
      <c r="H11" s="14">
        <v>0.6656</v>
      </c>
      <c r="I11" s="13">
        <f>G11*0.08</f>
        <v>237.84</v>
      </c>
      <c r="J11" s="13">
        <f t="shared" si="0"/>
        <v>238</v>
      </c>
      <c r="K11" s="13">
        <f>VLOOKUP(B:B,[3]Sheet2!$I$1:$J$65536,2,0)</f>
        <v>163</v>
      </c>
      <c r="L11" s="13">
        <f t="shared" si="1"/>
        <v>-75</v>
      </c>
      <c r="M11" s="13">
        <f>L11*2</f>
        <v>-150</v>
      </c>
      <c r="N11" s="23">
        <v>0.713286</v>
      </c>
      <c r="O11" s="24">
        <v>0.6656</v>
      </c>
      <c r="P11" s="30">
        <f>O11*1.025</f>
        <v>0.68224</v>
      </c>
      <c r="Q11" s="39">
        <v>134400</v>
      </c>
      <c r="R11" s="40">
        <f t="shared" si="2"/>
        <v>91693.056</v>
      </c>
      <c r="S11" s="40" t="str">
        <f>VLOOKUP(B:B,[4]查询门店会员消费占比!$B$1:$K$65536,10,0)</f>
        <v>67.61%</v>
      </c>
      <c r="T11" s="41">
        <f t="shared" si="3"/>
        <v>-0.00908149681999693</v>
      </c>
      <c r="U11" s="39"/>
      <c r="V11" s="39"/>
      <c r="W11" s="42">
        <v>5</v>
      </c>
      <c r="X11" s="42">
        <f t="shared" si="4"/>
        <v>-10</v>
      </c>
      <c r="Y11" s="42">
        <f t="shared" si="5"/>
        <v>-160</v>
      </c>
    </row>
    <row r="12" spans="1:25">
      <c r="A12" s="11">
        <v>10</v>
      </c>
      <c r="B12" s="11">
        <v>744</v>
      </c>
      <c r="C12" s="11" t="s">
        <v>37</v>
      </c>
      <c r="D12" s="11"/>
      <c r="E12" s="12" t="s">
        <v>40</v>
      </c>
      <c r="F12" s="13">
        <v>277.84</v>
      </c>
      <c r="G12" s="13">
        <f>VLOOKUP(B:B,[2]原表!$D$1:$J$65536,7,0)</f>
        <v>3997</v>
      </c>
      <c r="H12" s="14">
        <v>0.6487</v>
      </c>
      <c r="I12" s="13">
        <f>G12*0.08</f>
        <v>319.76</v>
      </c>
      <c r="J12" s="15">
        <v>278</v>
      </c>
      <c r="K12" s="13">
        <f>VLOOKUP(B:B,[3]Sheet2!$I$1:$J$65536,2,0)</f>
        <v>87</v>
      </c>
      <c r="L12" s="13">
        <f t="shared" si="1"/>
        <v>-191</v>
      </c>
      <c r="M12" s="13">
        <f>L12*2</f>
        <v>-382</v>
      </c>
      <c r="N12" s="23">
        <v>0.635154</v>
      </c>
      <c r="O12" s="24">
        <v>0.6487</v>
      </c>
      <c r="P12" s="30">
        <f>O12*1.025</f>
        <v>0.6649175</v>
      </c>
      <c r="Q12" s="39">
        <v>220320</v>
      </c>
      <c r="R12" s="40">
        <f t="shared" si="2"/>
        <v>146494.6236</v>
      </c>
      <c r="S12" s="40" t="str">
        <f>VLOOKUP(B:B,[4]查询门店会员消费占比!$B$1:$K$65536,10,0)</f>
        <v>70.24%</v>
      </c>
      <c r="T12" s="43">
        <f t="shared" si="3"/>
        <v>0.0533634681093392</v>
      </c>
      <c r="U12" s="39"/>
      <c r="V12" s="39">
        <v>150</v>
      </c>
      <c r="W12" s="42">
        <v>92</v>
      </c>
      <c r="X12" s="42">
        <f t="shared" si="4"/>
        <v>-184</v>
      </c>
      <c r="Y12" s="42">
        <f t="shared" si="5"/>
        <v>-566</v>
      </c>
    </row>
    <row r="13" spans="1:25">
      <c r="A13" s="11">
        <v>11</v>
      </c>
      <c r="B13" s="11">
        <v>391</v>
      </c>
      <c r="C13" s="11" t="s">
        <v>37</v>
      </c>
      <c r="D13" s="11"/>
      <c r="E13" s="12" t="s">
        <v>41</v>
      </c>
      <c r="F13" s="15">
        <v>139</v>
      </c>
      <c r="G13" s="13">
        <f>VLOOKUP(B:B,[2]原表!$D$1:$J$65536,7,0)</f>
        <v>1149</v>
      </c>
      <c r="H13" s="16">
        <v>0.64</v>
      </c>
      <c r="I13" s="13">
        <f>G13*0.08</f>
        <v>91.92</v>
      </c>
      <c r="J13" s="15">
        <v>232</v>
      </c>
      <c r="K13" s="13">
        <f>VLOOKUP(B:B,[3]Sheet2!$I$1:$J$65536,2,0)</f>
        <v>106</v>
      </c>
      <c r="L13" s="13">
        <f t="shared" si="1"/>
        <v>-126</v>
      </c>
      <c r="M13" s="13">
        <f>L13*2</f>
        <v>-252</v>
      </c>
      <c r="N13" s="23">
        <v>0.638724</v>
      </c>
      <c r="O13" s="29">
        <v>0.64</v>
      </c>
      <c r="P13" s="30">
        <f>O13*1.025</f>
        <v>0.656</v>
      </c>
      <c r="Q13" s="39">
        <v>208037</v>
      </c>
      <c r="R13" s="40">
        <f t="shared" si="2"/>
        <v>136472.272</v>
      </c>
      <c r="S13" s="40" t="str">
        <f>VLOOKUP(B:B,[4]查询门店会员消费占比!$B$1:$K$65536,10,0)</f>
        <v>62.61%</v>
      </c>
      <c r="T13" s="41">
        <f t="shared" si="3"/>
        <v>-0.0477559495288291</v>
      </c>
      <c r="U13" s="39"/>
      <c r="V13" s="39"/>
      <c r="W13" s="42">
        <v>10</v>
      </c>
      <c r="X13" s="42">
        <f t="shared" si="4"/>
        <v>-20</v>
      </c>
      <c r="Y13" s="42">
        <f t="shared" si="5"/>
        <v>-272</v>
      </c>
    </row>
    <row r="14" spans="1:25">
      <c r="A14" s="11">
        <v>12</v>
      </c>
      <c r="B14" s="11">
        <v>54</v>
      </c>
      <c r="C14" s="11" t="s">
        <v>32</v>
      </c>
      <c r="D14" s="11"/>
      <c r="E14" s="12" t="s">
        <v>42</v>
      </c>
      <c r="F14" s="13">
        <v>118.12</v>
      </c>
      <c r="G14" s="13">
        <f>VLOOKUP(B:B,[2]原表!$D$1:$J$65536,7,0)</f>
        <v>1972</v>
      </c>
      <c r="H14" s="14">
        <v>0.8634</v>
      </c>
      <c r="I14" s="13">
        <f>G14*0.04</f>
        <v>78.88</v>
      </c>
      <c r="J14" s="13">
        <f t="shared" si="0"/>
        <v>79</v>
      </c>
      <c r="K14" s="13">
        <f>VLOOKUP(B:B,[3]Sheet2!$I$1:$J$65536,2,0)</f>
        <v>200</v>
      </c>
      <c r="L14" s="13">
        <f t="shared" si="1"/>
        <v>121</v>
      </c>
      <c r="M14" s="13"/>
      <c r="N14" s="31">
        <v>0.91</v>
      </c>
      <c r="O14" s="24">
        <v>0.8634</v>
      </c>
      <c r="P14" s="28">
        <f>O14*1.01</f>
        <v>0.872034</v>
      </c>
      <c r="Q14" s="39">
        <v>224640</v>
      </c>
      <c r="R14" s="40">
        <f t="shared" si="2"/>
        <v>195893.71776</v>
      </c>
      <c r="S14" s="40" t="str">
        <f>VLOOKUP(B:B,[4]查询门店会员消费占比!$B$1:$K$65536,10,0)</f>
        <v>88.4%</v>
      </c>
      <c r="T14" s="44">
        <f t="shared" si="3"/>
        <v>0.0135361990950227</v>
      </c>
      <c r="U14" s="39">
        <v>150</v>
      </c>
      <c r="V14" s="39"/>
      <c r="W14" s="42">
        <v>2</v>
      </c>
      <c r="X14" s="42">
        <f t="shared" si="4"/>
        <v>-4</v>
      </c>
      <c r="Y14" s="42">
        <f t="shared" si="5"/>
        <v>-4</v>
      </c>
    </row>
    <row r="15" spans="1:25">
      <c r="A15" s="11">
        <v>13</v>
      </c>
      <c r="B15" s="11">
        <v>582</v>
      </c>
      <c r="C15" s="11" t="s">
        <v>27</v>
      </c>
      <c r="D15" s="11"/>
      <c r="E15" s="12" t="s">
        <v>43</v>
      </c>
      <c r="F15" s="15">
        <v>429.84</v>
      </c>
      <c r="G15" s="13">
        <f>VLOOKUP(B:B,[2]原表!$D$1:$J$65536,7,0)</f>
        <v>8105</v>
      </c>
      <c r="H15" s="14">
        <v>0.4218</v>
      </c>
      <c r="I15" s="15">
        <f>G15*0.12</f>
        <v>972.6</v>
      </c>
      <c r="J15" s="15">
        <f>ROUND(I15/2,0)</f>
        <v>486</v>
      </c>
      <c r="K15" s="13">
        <f>VLOOKUP(B:B,[3]Sheet2!$I$1:$J$65536,2,0)</f>
        <v>213</v>
      </c>
      <c r="L15" s="13">
        <f t="shared" si="1"/>
        <v>-273</v>
      </c>
      <c r="M15" s="13">
        <f>L15*2</f>
        <v>-546</v>
      </c>
      <c r="N15" s="32">
        <v>0.417974</v>
      </c>
      <c r="O15" s="24">
        <v>0.4218</v>
      </c>
      <c r="P15" s="33">
        <f>O15*1.045</f>
        <v>0.440781</v>
      </c>
      <c r="Q15" s="39">
        <v>927000</v>
      </c>
      <c r="R15" s="40">
        <f t="shared" si="2"/>
        <v>408603.987</v>
      </c>
      <c r="S15" s="40" t="str">
        <f>VLOOKUP(B:B,[4]查询门店会员消费占比!$B$1:$K$65536,10,0)</f>
        <v>44.24%</v>
      </c>
      <c r="T15" s="41">
        <f t="shared" si="3"/>
        <v>0.00365958408679936</v>
      </c>
      <c r="U15" s="39"/>
      <c r="V15" s="39"/>
      <c r="W15" s="42">
        <v>108</v>
      </c>
      <c r="X15" s="42">
        <f t="shared" si="4"/>
        <v>-216</v>
      </c>
      <c r="Y15" s="42">
        <f t="shared" si="5"/>
        <v>-762</v>
      </c>
    </row>
    <row r="16" spans="1:25">
      <c r="A16" s="11">
        <v>14</v>
      </c>
      <c r="B16" s="11">
        <v>387</v>
      </c>
      <c r="C16" s="11" t="s">
        <v>30</v>
      </c>
      <c r="D16" s="11"/>
      <c r="E16" s="12" t="s">
        <v>44</v>
      </c>
      <c r="F16" s="13">
        <v>171.76</v>
      </c>
      <c r="G16" s="13">
        <f>VLOOKUP(B:B,[2]原表!$D$1:$J$65536,7,0)</f>
        <v>5359</v>
      </c>
      <c r="H16" s="14">
        <v>0.8114</v>
      </c>
      <c r="I16" s="13">
        <f>G16*0.04</f>
        <v>214.36</v>
      </c>
      <c r="J16" s="13">
        <f t="shared" si="0"/>
        <v>214</v>
      </c>
      <c r="K16" s="13">
        <f>VLOOKUP(B:B,[3]Sheet2!$I$1:$J$65536,2,0)</f>
        <v>146</v>
      </c>
      <c r="L16" s="13">
        <f t="shared" si="1"/>
        <v>-68</v>
      </c>
      <c r="M16" s="13">
        <f>L16*2</f>
        <v>-136</v>
      </c>
      <c r="N16" s="28">
        <v>0.830826</v>
      </c>
      <c r="O16" s="24">
        <v>0.8114</v>
      </c>
      <c r="P16" s="28">
        <f>O16*1.01</f>
        <v>0.819514</v>
      </c>
      <c r="Q16" s="39">
        <v>319410</v>
      </c>
      <c r="R16" s="40">
        <f t="shared" si="2"/>
        <v>261760.96674</v>
      </c>
      <c r="S16" s="40" t="str">
        <f>VLOOKUP(B:B,[4]查询门店会员消费占比!$B$1:$K$65536,10,0)</f>
        <v>80.47%</v>
      </c>
      <c r="T16" s="41">
        <f t="shared" si="3"/>
        <v>-0.0184093450975519</v>
      </c>
      <c r="U16" s="39"/>
      <c r="V16" s="39"/>
      <c r="W16" s="42">
        <v>77</v>
      </c>
      <c r="X16" s="42">
        <f t="shared" si="4"/>
        <v>-154</v>
      </c>
      <c r="Y16" s="42">
        <f t="shared" si="5"/>
        <v>-290</v>
      </c>
    </row>
    <row r="17" spans="1:25">
      <c r="A17" s="11">
        <v>15</v>
      </c>
      <c r="B17" s="11">
        <v>717</v>
      </c>
      <c r="C17" s="11" t="s">
        <v>45</v>
      </c>
      <c r="D17" s="11"/>
      <c r="E17" s="12" t="s">
        <v>46</v>
      </c>
      <c r="F17" s="13">
        <v>64.68</v>
      </c>
      <c r="G17" s="13">
        <f>VLOOKUP(B:B,[2]原表!$D$1:$J$65536,7,0)</f>
        <v>2318</v>
      </c>
      <c r="H17" s="14">
        <v>0.7208</v>
      </c>
      <c r="I17" s="13">
        <f>G17*0.06</f>
        <v>139.08</v>
      </c>
      <c r="J17" s="13">
        <f t="shared" si="0"/>
        <v>139</v>
      </c>
      <c r="K17" s="13">
        <f>VLOOKUP(B:B,[3]Sheet2!$I$1:$J$65536,2,0)</f>
        <v>144</v>
      </c>
      <c r="L17" s="13">
        <f t="shared" si="1"/>
        <v>5</v>
      </c>
      <c r="M17" s="13"/>
      <c r="N17" s="28">
        <v>0.806485</v>
      </c>
      <c r="O17" s="24">
        <v>0.7208</v>
      </c>
      <c r="P17" s="25">
        <f>O17*1.015</f>
        <v>0.731612</v>
      </c>
      <c r="Q17" s="39">
        <v>118560</v>
      </c>
      <c r="R17" s="40">
        <f t="shared" si="2"/>
        <v>86739.91872</v>
      </c>
      <c r="S17" s="40" t="str">
        <f>VLOOKUP(B:B,[4]查询门店会员消费占比!$B$1:$K$65536,10,0)</f>
        <v>72.7%</v>
      </c>
      <c r="T17" s="41">
        <f t="shared" si="3"/>
        <v>-0.00634387895460791</v>
      </c>
      <c r="U17" s="39"/>
      <c r="V17" s="39"/>
      <c r="W17" s="42">
        <v>2</v>
      </c>
      <c r="X17" s="42">
        <f t="shared" si="4"/>
        <v>-4</v>
      </c>
      <c r="Y17" s="42">
        <f t="shared" si="5"/>
        <v>-4</v>
      </c>
    </row>
    <row r="18" spans="1:25">
      <c r="A18" s="11">
        <v>16</v>
      </c>
      <c r="B18" s="11">
        <v>349</v>
      </c>
      <c r="C18" s="11" t="s">
        <v>37</v>
      </c>
      <c r="D18" s="11"/>
      <c r="E18" s="12" t="s">
        <v>47</v>
      </c>
      <c r="F18" s="15">
        <v>140</v>
      </c>
      <c r="G18" s="13">
        <f>VLOOKUP(B:B,[2]原表!$D$1:$J$65536,7,0)</f>
        <v>3175</v>
      </c>
      <c r="H18" s="14">
        <v>0.6301</v>
      </c>
      <c r="I18" s="15">
        <f>G18*0.08</f>
        <v>254</v>
      </c>
      <c r="J18" s="15">
        <f>ROUND(I18*0.8,0)</f>
        <v>203</v>
      </c>
      <c r="K18" s="13">
        <f>VLOOKUP(B:B,[3]Sheet2!$I$1:$J$65536,2,0)</f>
        <v>113</v>
      </c>
      <c r="L18" s="13">
        <f t="shared" si="1"/>
        <v>-90</v>
      </c>
      <c r="M18" s="13">
        <f>L18*2</f>
        <v>-180</v>
      </c>
      <c r="N18" s="26">
        <v>0.593844</v>
      </c>
      <c r="O18" s="24">
        <v>0.6301</v>
      </c>
      <c r="P18" s="30">
        <f>O18*1.025</f>
        <v>0.6458525</v>
      </c>
      <c r="Q18" s="39">
        <v>193440</v>
      </c>
      <c r="R18" s="40">
        <f t="shared" si="2"/>
        <v>124933.7076</v>
      </c>
      <c r="S18" s="40" t="str">
        <f>VLOOKUP(B:B,[4]查询门店会员消费占比!$B$1:$K$65536,10,0)</f>
        <v>60.82%</v>
      </c>
      <c r="T18" s="41">
        <f t="shared" si="3"/>
        <v>-0.0619080894442617</v>
      </c>
      <c r="U18" s="39"/>
      <c r="V18" s="39"/>
      <c r="W18" s="42">
        <v>52</v>
      </c>
      <c r="X18" s="42">
        <f t="shared" si="4"/>
        <v>-104</v>
      </c>
      <c r="Y18" s="42">
        <f t="shared" si="5"/>
        <v>-284</v>
      </c>
    </row>
    <row r="19" spans="1:25">
      <c r="A19" s="11">
        <v>17</v>
      </c>
      <c r="B19" s="11">
        <v>710</v>
      </c>
      <c r="C19" s="11" t="s">
        <v>32</v>
      </c>
      <c r="D19" s="11"/>
      <c r="E19" s="12" t="s">
        <v>48</v>
      </c>
      <c r="F19" s="13">
        <v>97.14</v>
      </c>
      <c r="G19" s="13">
        <f>VLOOKUP(B:B,[2]原表!$D$1:$J$65536,7,0)</f>
        <v>1833</v>
      </c>
      <c r="H19" s="14">
        <v>0.7776</v>
      </c>
      <c r="I19" s="13">
        <f>G19*0.06</f>
        <v>109.98</v>
      </c>
      <c r="J19" s="13">
        <f t="shared" si="0"/>
        <v>110</v>
      </c>
      <c r="K19" s="13">
        <f>VLOOKUP(B:B,[3]Sheet2!$I$1:$J$65536,2,0)</f>
        <v>123</v>
      </c>
      <c r="L19" s="13">
        <f t="shared" si="1"/>
        <v>13</v>
      </c>
      <c r="M19" s="13"/>
      <c r="N19" s="28">
        <v>0.800627</v>
      </c>
      <c r="O19" s="24">
        <v>0.7776</v>
      </c>
      <c r="P19" s="25">
        <f>O19*1.015</f>
        <v>0.789264</v>
      </c>
      <c r="Q19" s="39">
        <v>98580</v>
      </c>
      <c r="R19" s="40">
        <f t="shared" si="2"/>
        <v>77805.64512</v>
      </c>
      <c r="S19" s="40" t="str">
        <f>VLOOKUP(B:B,[4]查询门店会员消费占比!$B$1:$K$65536,10,0)</f>
        <v>73.39%</v>
      </c>
      <c r="T19" s="41">
        <f t="shared" si="3"/>
        <v>-0.0754380705818229</v>
      </c>
      <c r="U19" s="39"/>
      <c r="V19" s="39"/>
      <c r="W19" s="42">
        <v>0</v>
      </c>
      <c r="X19" s="42">
        <f t="shared" si="4"/>
        <v>0</v>
      </c>
      <c r="Y19" s="42">
        <f t="shared" si="5"/>
        <v>0</v>
      </c>
    </row>
    <row r="20" spans="1:25">
      <c r="A20" s="11">
        <v>18</v>
      </c>
      <c r="B20" s="11">
        <v>747</v>
      </c>
      <c r="C20" s="11" t="s">
        <v>37</v>
      </c>
      <c r="D20" s="11"/>
      <c r="E20" s="12" t="s">
        <v>49</v>
      </c>
      <c r="F20" s="13">
        <v>126.84</v>
      </c>
      <c r="G20" s="13">
        <f>VLOOKUP(B:B,[2]原表!$D$1:$J$65536,7,0)</f>
        <v>2374</v>
      </c>
      <c r="H20" s="14">
        <v>0.7711</v>
      </c>
      <c r="I20" s="13">
        <f>G20*0.06</f>
        <v>142.44</v>
      </c>
      <c r="J20" s="13">
        <f t="shared" si="0"/>
        <v>142</v>
      </c>
      <c r="K20" s="13">
        <f>VLOOKUP(B:B,[3]Sheet2!$I$1:$J$65536,2,0)</f>
        <v>198</v>
      </c>
      <c r="L20" s="13">
        <f t="shared" si="1"/>
        <v>56</v>
      </c>
      <c r="M20" s="13"/>
      <c r="N20" s="28">
        <v>0.77467</v>
      </c>
      <c r="O20" s="24">
        <v>0.7711</v>
      </c>
      <c r="P20" s="25">
        <f>O20*1.015</f>
        <v>0.7826665</v>
      </c>
      <c r="Q20" s="39">
        <v>194400</v>
      </c>
      <c r="R20" s="40">
        <f t="shared" si="2"/>
        <v>152150.3676</v>
      </c>
      <c r="S20" s="40" t="str">
        <f>VLOOKUP(B:B,[4]查询门店会员消费占比!$B$1:$K$65536,10,0)</f>
        <v>76.28%</v>
      </c>
      <c r="T20" s="41">
        <f t="shared" si="3"/>
        <v>-0.0260441793392762</v>
      </c>
      <c r="U20" s="39"/>
      <c r="V20" s="39"/>
      <c r="W20" s="42">
        <v>1</v>
      </c>
      <c r="X20" s="42">
        <f t="shared" si="4"/>
        <v>-2</v>
      </c>
      <c r="Y20" s="42">
        <f t="shared" si="5"/>
        <v>-2</v>
      </c>
    </row>
    <row r="21" spans="1:25">
      <c r="A21" s="11">
        <v>19</v>
      </c>
      <c r="B21" s="11">
        <v>748</v>
      </c>
      <c r="C21" s="11" t="s">
        <v>45</v>
      </c>
      <c r="D21" s="11"/>
      <c r="E21" s="12" t="s">
        <v>50</v>
      </c>
      <c r="F21" s="13">
        <v>112.38</v>
      </c>
      <c r="G21" s="13">
        <f>VLOOKUP(B:B,[2]原表!$D$1:$J$65536,7,0)</f>
        <v>2179</v>
      </c>
      <c r="H21" s="14">
        <v>0.8199</v>
      </c>
      <c r="I21" s="13">
        <f>G21*0.04</f>
        <v>87.16</v>
      </c>
      <c r="J21" s="13">
        <f t="shared" si="0"/>
        <v>87</v>
      </c>
      <c r="K21" s="13">
        <f>VLOOKUP(B:B,[3]Sheet2!$I$1:$J$65536,2,0)</f>
        <v>137</v>
      </c>
      <c r="L21" s="13">
        <f t="shared" si="1"/>
        <v>50</v>
      </c>
      <c r="M21" s="13"/>
      <c r="N21" s="28">
        <v>0.79588</v>
      </c>
      <c r="O21" s="24">
        <v>0.8199</v>
      </c>
      <c r="P21" s="28">
        <f>O21*1.01</f>
        <v>0.828099</v>
      </c>
      <c r="Q21" s="39">
        <v>116052</v>
      </c>
      <c r="R21" s="40">
        <f t="shared" si="2"/>
        <v>96102.545148</v>
      </c>
      <c r="S21" s="40" t="str">
        <f>VLOOKUP(B:B,[4]查询门店会员消费占比!$B$1:$K$65536,10,0)</f>
        <v>79.2%</v>
      </c>
      <c r="T21" s="41">
        <f t="shared" si="3"/>
        <v>-0.0455795454545453</v>
      </c>
      <c r="U21" s="39"/>
      <c r="V21" s="39"/>
      <c r="W21" s="42">
        <v>2</v>
      </c>
      <c r="X21" s="42">
        <f t="shared" si="4"/>
        <v>-4</v>
      </c>
      <c r="Y21" s="42">
        <f t="shared" si="5"/>
        <v>-4</v>
      </c>
    </row>
    <row r="22" spans="1:25">
      <c r="A22" s="11">
        <v>20</v>
      </c>
      <c r="B22" s="11">
        <v>723</v>
      </c>
      <c r="C22" s="11" t="s">
        <v>37</v>
      </c>
      <c r="D22" s="11"/>
      <c r="E22" s="12" t="s">
        <v>51</v>
      </c>
      <c r="F22" s="13">
        <v>127.26</v>
      </c>
      <c r="G22" s="13">
        <f>VLOOKUP(B:B,[2]原表!$D$1:$J$65536,7,0)</f>
        <v>2348</v>
      </c>
      <c r="H22" s="14">
        <v>0.778</v>
      </c>
      <c r="I22" s="13">
        <f>G22*0.06</f>
        <v>140.88</v>
      </c>
      <c r="J22" s="13">
        <f t="shared" si="0"/>
        <v>141</v>
      </c>
      <c r="K22" s="13">
        <f>VLOOKUP(B:B,[3]Sheet2!$I$1:$J$65536,2,0)</f>
        <v>104</v>
      </c>
      <c r="L22" s="13">
        <f t="shared" si="1"/>
        <v>-37</v>
      </c>
      <c r="M22" s="13">
        <f>L22*2</f>
        <v>-74</v>
      </c>
      <c r="N22" s="28">
        <v>0.781538</v>
      </c>
      <c r="O22" s="24">
        <v>0.778</v>
      </c>
      <c r="P22" s="25">
        <f>O22*1.015</f>
        <v>0.78967</v>
      </c>
      <c r="Q22" s="39">
        <v>114480</v>
      </c>
      <c r="R22" s="40">
        <f t="shared" si="2"/>
        <v>90401.4216</v>
      </c>
      <c r="S22" s="40" t="str">
        <f>VLOOKUP(B:B,[4]查询门店会员消费占比!$B$1:$K$65536,10,0)</f>
        <v>76.08%</v>
      </c>
      <c r="T22" s="41">
        <f t="shared" si="3"/>
        <v>-0.037946898002103</v>
      </c>
      <c r="U22" s="39"/>
      <c r="V22" s="39"/>
      <c r="W22" s="42">
        <v>16</v>
      </c>
      <c r="X22" s="42">
        <f t="shared" si="4"/>
        <v>-32</v>
      </c>
      <c r="Y22" s="42">
        <f t="shared" si="5"/>
        <v>-106</v>
      </c>
    </row>
    <row r="23" spans="1:25">
      <c r="A23" s="11">
        <v>21</v>
      </c>
      <c r="B23" s="11">
        <v>750</v>
      </c>
      <c r="C23" s="11" t="s">
        <v>30</v>
      </c>
      <c r="D23" s="11"/>
      <c r="E23" s="12" t="s">
        <v>52</v>
      </c>
      <c r="F23" s="13">
        <v>563.76</v>
      </c>
      <c r="G23" s="13">
        <f>VLOOKUP(B:B,[2]原表!$D$1:$J$65536,7,0)</f>
        <v>8418</v>
      </c>
      <c r="H23" s="14">
        <v>0.6762</v>
      </c>
      <c r="I23" s="13">
        <f>G23*0.08</f>
        <v>673.44</v>
      </c>
      <c r="J23" s="13">
        <f t="shared" si="0"/>
        <v>673</v>
      </c>
      <c r="K23" s="13">
        <f>VLOOKUP(B:B,[3]Sheet2!$I$1:$J$65536,2,0)</f>
        <v>576</v>
      </c>
      <c r="L23" s="13">
        <f t="shared" si="1"/>
        <v>-97</v>
      </c>
      <c r="M23" s="13">
        <f>L23*2</f>
        <v>-194</v>
      </c>
      <c r="N23" s="23">
        <v>0.683298</v>
      </c>
      <c r="O23" s="24">
        <v>0.6762</v>
      </c>
      <c r="P23" s="30">
        <f>O23*1.025</f>
        <v>0.693105</v>
      </c>
      <c r="Q23" s="39">
        <v>648900</v>
      </c>
      <c r="R23" s="40">
        <f t="shared" si="2"/>
        <v>449755.8345</v>
      </c>
      <c r="S23" s="40" t="str">
        <f>VLOOKUP(B:B,[4]查询门店会员消费占比!$B$1:$K$65536,10,0)</f>
        <v>67.36%</v>
      </c>
      <c r="T23" s="41">
        <f t="shared" si="3"/>
        <v>-0.0289563539192399</v>
      </c>
      <c r="U23" s="39"/>
      <c r="V23" s="39"/>
      <c r="W23" s="42">
        <v>191</v>
      </c>
      <c r="X23" s="42">
        <f t="shared" si="4"/>
        <v>-382</v>
      </c>
      <c r="Y23" s="42">
        <f t="shared" si="5"/>
        <v>-576</v>
      </c>
    </row>
    <row r="24" spans="1:25">
      <c r="A24" s="11">
        <v>22</v>
      </c>
      <c r="B24" s="11">
        <v>545</v>
      </c>
      <c r="C24" s="11" t="s">
        <v>30</v>
      </c>
      <c r="D24" s="11"/>
      <c r="E24" s="12" t="s">
        <v>53</v>
      </c>
      <c r="F24" s="13">
        <v>91.8</v>
      </c>
      <c r="G24" s="13">
        <f>VLOOKUP(B:B,[2]原表!$D$1:$J$65536,7,0)</f>
        <v>1836</v>
      </c>
      <c r="H24" s="14">
        <v>0.8075</v>
      </c>
      <c r="I24" s="13">
        <f>G24*0.04</f>
        <v>73.44</v>
      </c>
      <c r="J24" s="13">
        <f t="shared" si="0"/>
        <v>73</v>
      </c>
      <c r="K24" s="13">
        <f>VLOOKUP(B:B,[3]Sheet2!$I$1:$J$65536,2,0)</f>
        <v>88</v>
      </c>
      <c r="L24" s="13">
        <f t="shared" si="1"/>
        <v>15</v>
      </c>
      <c r="M24" s="13"/>
      <c r="N24" s="28">
        <v>0.802647</v>
      </c>
      <c r="O24" s="24">
        <v>0.8075</v>
      </c>
      <c r="P24" s="28">
        <f>O24*1.01</f>
        <v>0.815575</v>
      </c>
      <c r="Q24" s="39">
        <v>104940</v>
      </c>
      <c r="R24" s="40">
        <f t="shared" si="2"/>
        <v>85586.4405</v>
      </c>
      <c r="S24" s="40" t="str">
        <f>VLOOKUP(B:B,[4]查询门店会员消费占比!$B$1:$K$65536,10,0)</f>
        <v>78.41%</v>
      </c>
      <c r="T24" s="41">
        <f t="shared" si="3"/>
        <v>-0.0401415635760745</v>
      </c>
      <c r="U24" s="39"/>
      <c r="V24" s="39"/>
      <c r="W24" s="42">
        <v>3</v>
      </c>
      <c r="X24" s="42">
        <f t="shared" si="4"/>
        <v>-6</v>
      </c>
      <c r="Y24" s="42">
        <f t="shared" si="5"/>
        <v>-6</v>
      </c>
    </row>
    <row r="25" spans="1:25">
      <c r="A25" s="11">
        <v>23</v>
      </c>
      <c r="B25" s="11">
        <v>741</v>
      </c>
      <c r="C25" s="11" t="s">
        <v>27</v>
      </c>
      <c r="D25" s="11"/>
      <c r="E25" s="12" t="s">
        <v>54</v>
      </c>
      <c r="F25" s="13">
        <v>67.14</v>
      </c>
      <c r="G25" s="13">
        <f>VLOOKUP(B:B,[2]原表!$D$1:$J$65536,7,0)</f>
        <v>1254</v>
      </c>
      <c r="H25" s="14">
        <v>0.7455</v>
      </c>
      <c r="I25" s="13">
        <f>G25*0.06</f>
        <v>75.24</v>
      </c>
      <c r="J25" s="13">
        <f t="shared" si="0"/>
        <v>75</v>
      </c>
      <c r="K25" s="13">
        <f>VLOOKUP(B:B,[3]Sheet2!$I$1:$J$65536,2,0)</f>
        <v>44</v>
      </c>
      <c r="L25" s="13">
        <f t="shared" si="1"/>
        <v>-31</v>
      </c>
      <c r="M25" s="13">
        <f>L25*2</f>
        <v>-62</v>
      </c>
      <c r="N25" s="28">
        <v>0.763661</v>
      </c>
      <c r="O25" s="24">
        <v>0.7455</v>
      </c>
      <c r="P25" s="25">
        <f>O25*1.015</f>
        <v>0.7566825</v>
      </c>
      <c r="Q25" s="39">
        <v>95400</v>
      </c>
      <c r="R25" s="40">
        <f t="shared" si="2"/>
        <v>72187.5105</v>
      </c>
      <c r="S25" s="40" t="str">
        <f>VLOOKUP(B:B,[4]查询门店会员消费占比!$B$1:$K$65536,10,0)</f>
        <v>74.8%</v>
      </c>
      <c r="T25" s="41">
        <f t="shared" si="3"/>
        <v>-0.0116076203208555</v>
      </c>
      <c r="U25" s="39"/>
      <c r="V25" s="39"/>
      <c r="W25" s="42">
        <v>15</v>
      </c>
      <c r="X25" s="42">
        <f t="shared" si="4"/>
        <v>-30</v>
      </c>
      <c r="Y25" s="42">
        <f t="shared" si="5"/>
        <v>-92</v>
      </c>
    </row>
    <row r="26" spans="1:25">
      <c r="A26" s="11">
        <v>24</v>
      </c>
      <c r="B26" s="11">
        <v>732</v>
      </c>
      <c r="C26" s="11" t="s">
        <v>45</v>
      </c>
      <c r="D26" s="11"/>
      <c r="E26" s="12" t="s">
        <v>55</v>
      </c>
      <c r="F26" s="13">
        <v>77.22</v>
      </c>
      <c r="G26" s="13">
        <f>VLOOKUP(B:B,[2]原表!$D$1:$J$65536,7,0)</f>
        <v>1481</v>
      </c>
      <c r="H26" s="14">
        <v>0.7327</v>
      </c>
      <c r="I26" s="13">
        <f>G26*0.06</f>
        <v>88.86</v>
      </c>
      <c r="J26" s="13">
        <f t="shared" si="0"/>
        <v>89</v>
      </c>
      <c r="K26" s="13">
        <f>VLOOKUP(B:B,[3]Sheet2!$I$1:$J$65536,2,0)</f>
        <v>81</v>
      </c>
      <c r="L26" s="13">
        <f t="shared" si="1"/>
        <v>-8</v>
      </c>
      <c r="M26" s="13">
        <f>L26*2</f>
        <v>-16</v>
      </c>
      <c r="N26" s="23">
        <v>0.727974</v>
      </c>
      <c r="O26" s="24">
        <v>0.7327</v>
      </c>
      <c r="P26" s="25">
        <f>O26*1.015</f>
        <v>0.7436905</v>
      </c>
      <c r="Q26" s="39">
        <v>120840</v>
      </c>
      <c r="R26" s="40">
        <f t="shared" si="2"/>
        <v>89867.56002</v>
      </c>
      <c r="S26" s="40" t="str">
        <f>VLOOKUP(B:B,[4]查询门店会员消费占比!$B$1:$K$65536,10,0)</f>
        <v>74.24%</v>
      </c>
      <c r="T26" s="41">
        <f t="shared" si="3"/>
        <v>-0.00173828124999996</v>
      </c>
      <c r="U26" s="39"/>
      <c r="V26" s="39"/>
      <c r="W26" s="42">
        <v>2</v>
      </c>
      <c r="X26" s="42">
        <f t="shared" si="4"/>
        <v>-4</v>
      </c>
      <c r="Y26" s="42">
        <f t="shared" si="5"/>
        <v>-20</v>
      </c>
    </row>
    <row r="27" spans="1:25">
      <c r="A27" s="11">
        <v>25</v>
      </c>
      <c r="B27" s="11">
        <v>709</v>
      </c>
      <c r="C27" s="11" t="s">
        <v>27</v>
      </c>
      <c r="D27" s="11"/>
      <c r="E27" s="12" t="s">
        <v>56</v>
      </c>
      <c r="F27" s="13">
        <v>141.44</v>
      </c>
      <c r="G27" s="13">
        <f>VLOOKUP(B:B,[2]原表!$D$1:$J$65536,7,0)</f>
        <v>4063</v>
      </c>
      <c r="H27" s="14">
        <v>0.7837</v>
      </c>
      <c r="I27" s="13">
        <f>G27*0.06</f>
        <v>243.78</v>
      </c>
      <c r="J27" s="13">
        <f t="shared" si="0"/>
        <v>244</v>
      </c>
      <c r="K27" s="13">
        <f>VLOOKUP(B:B,[3]Sheet2!$I$1:$J$65536,2,0)</f>
        <v>94</v>
      </c>
      <c r="L27" s="13">
        <f t="shared" si="1"/>
        <v>-150</v>
      </c>
      <c r="M27" s="13">
        <f>L27*2</f>
        <v>-300</v>
      </c>
      <c r="N27" s="28">
        <v>0.826079</v>
      </c>
      <c r="O27" s="24">
        <v>0.7837</v>
      </c>
      <c r="P27" s="25">
        <f>O27*1.015</f>
        <v>0.7954555</v>
      </c>
      <c r="Q27" s="39">
        <v>252720</v>
      </c>
      <c r="R27" s="40">
        <f t="shared" si="2"/>
        <v>201027.51396</v>
      </c>
      <c r="S27" s="40" t="str">
        <f>VLOOKUP(B:B,[4]查询门店会员消费占比!$B$1:$K$65536,10,0)</f>
        <v>78.6%</v>
      </c>
      <c r="T27" s="41">
        <f t="shared" si="3"/>
        <v>-0.0120298982188295</v>
      </c>
      <c r="U27" s="39"/>
      <c r="V27" s="39"/>
      <c r="W27" s="42">
        <v>3</v>
      </c>
      <c r="X27" s="42">
        <f t="shared" si="4"/>
        <v>-6</v>
      </c>
      <c r="Y27" s="42">
        <f t="shared" si="5"/>
        <v>-306</v>
      </c>
    </row>
    <row r="28" spans="1:25">
      <c r="A28" s="11">
        <v>26</v>
      </c>
      <c r="B28" s="11">
        <v>514</v>
      </c>
      <c r="C28" s="11" t="s">
        <v>45</v>
      </c>
      <c r="D28" s="11"/>
      <c r="E28" s="12" t="s">
        <v>57</v>
      </c>
      <c r="F28" s="13">
        <v>142.44</v>
      </c>
      <c r="G28" s="13">
        <f>VLOOKUP(B:B,[2]原表!$D$1:$J$65536,7,0)</f>
        <v>4320</v>
      </c>
      <c r="H28" s="14">
        <v>0.9032</v>
      </c>
      <c r="I28" s="13">
        <f>G28*0.04</f>
        <v>172.8</v>
      </c>
      <c r="J28" s="13">
        <f t="shared" si="0"/>
        <v>173</v>
      </c>
      <c r="K28" s="13">
        <f>VLOOKUP(B:B,[3]Sheet2!$I$1:$J$65536,2,0)</f>
        <v>89</v>
      </c>
      <c r="L28" s="13">
        <f t="shared" si="1"/>
        <v>-84</v>
      </c>
      <c r="M28" s="13">
        <f>L28*2</f>
        <v>-168</v>
      </c>
      <c r="N28" s="31">
        <v>0.921</v>
      </c>
      <c r="O28" s="24">
        <v>0.9032</v>
      </c>
      <c r="P28" s="31">
        <f>O28</f>
        <v>0.9032</v>
      </c>
      <c r="Q28" s="39">
        <v>198900</v>
      </c>
      <c r="R28" s="40">
        <f t="shared" si="2"/>
        <v>179646.48</v>
      </c>
      <c r="S28" s="40" t="str">
        <f>VLOOKUP(B:B,[4]查询门店会员消费占比!$B$1:$K$65536,10,0)</f>
        <v>88.98%</v>
      </c>
      <c r="T28" s="41">
        <f t="shared" si="3"/>
        <v>-0.0150595639469543</v>
      </c>
      <c r="U28" s="39"/>
      <c r="V28" s="39"/>
      <c r="W28" s="42">
        <v>1</v>
      </c>
      <c r="X28" s="42">
        <f t="shared" si="4"/>
        <v>-2</v>
      </c>
      <c r="Y28" s="42">
        <f t="shared" si="5"/>
        <v>-170</v>
      </c>
    </row>
    <row r="29" spans="1:25">
      <c r="A29" s="11">
        <v>27</v>
      </c>
      <c r="B29" s="11">
        <v>726</v>
      </c>
      <c r="C29" s="11" t="s">
        <v>27</v>
      </c>
      <c r="D29" s="11"/>
      <c r="E29" s="12" t="s">
        <v>58</v>
      </c>
      <c r="F29" s="13">
        <v>185.52</v>
      </c>
      <c r="G29" s="13">
        <f>VLOOKUP(B:B,[2]原表!$D$1:$J$65536,7,0)</f>
        <v>3623</v>
      </c>
      <c r="H29" s="14">
        <v>0.7378</v>
      </c>
      <c r="I29" s="13">
        <f>G29*0.06</f>
        <v>217.38</v>
      </c>
      <c r="J29" s="13">
        <f t="shared" si="0"/>
        <v>217</v>
      </c>
      <c r="K29" s="13">
        <f>VLOOKUP(B:B,[3]Sheet2!$I$1:$J$65536,2,0)</f>
        <v>216</v>
      </c>
      <c r="L29" s="13">
        <f t="shared" si="1"/>
        <v>-1</v>
      </c>
      <c r="M29" s="13">
        <f>L29*2</f>
        <v>-2</v>
      </c>
      <c r="N29" s="28">
        <v>0.801132</v>
      </c>
      <c r="O29" s="24">
        <v>0.7378</v>
      </c>
      <c r="P29" s="25">
        <f>O29*1.015</f>
        <v>0.748867</v>
      </c>
      <c r="Q29" s="39">
        <v>271440</v>
      </c>
      <c r="R29" s="40">
        <f t="shared" si="2"/>
        <v>203272.45848</v>
      </c>
      <c r="S29" s="40" t="str">
        <f>VLOOKUP(B:B,[4]查询门店会员消费占比!$B$1:$K$65536,10,0)</f>
        <v>73.74%</v>
      </c>
      <c r="T29" s="41">
        <f t="shared" si="3"/>
        <v>-0.0155505831299159</v>
      </c>
      <c r="U29" s="39"/>
      <c r="V29" s="39"/>
      <c r="W29" s="42">
        <v>4</v>
      </c>
      <c r="X29" s="42">
        <f t="shared" si="4"/>
        <v>-8</v>
      </c>
      <c r="Y29" s="42">
        <f t="shared" si="5"/>
        <v>-10</v>
      </c>
    </row>
    <row r="30" spans="1:25">
      <c r="A30" s="11">
        <v>28</v>
      </c>
      <c r="B30" s="11">
        <v>570</v>
      </c>
      <c r="C30" s="11" t="s">
        <v>27</v>
      </c>
      <c r="D30" s="11"/>
      <c r="E30" s="12" t="s">
        <v>59</v>
      </c>
      <c r="F30" s="13">
        <v>149.28</v>
      </c>
      <c r="G30" s="13">
        <f>VLOOKUP(B:B,[2]原表!$D$1:$J$65536,7,0)</f>
        <v>2883</v>
      </c>
      <c r="H30" s="14">
        <v>0.8048</v>
      </c>
      <c r="I30" s="13">
        <f>G30*0.04</f>
        <v>115.32</v>
      </c>
      <c r="J30" s="13">
        <f t="shared" si="0"/>
        <v>115</v>
      </c>
      <c r="K30" s="13">
        <f>VLOOKUP(B:B,[3]Sheet2!$I$1:$J$65536,2,0)</f>
        <v>141</v>
      </c>
      <c r="L30" s="13">
        <f t="shared" si="1"/>
        <v>26</v>
      </c>
      <c r="M30" s="13"/>
      <c r="N30" s="28">
        <v>0.806687</v>
      </c>
      <c r="O30" s="24">
        <v>0.8048</v>
      </c>
      <c r="P30" s="28">
        <f>O30*1.01</f>
        <v>0.812848</v>
      </c>
      <c r="Q30" s="39">
        <v>127920</v>
      </c>
      <c r="R30" s="40">
        <f t="shared" si="2"/>
        <v>103979.51616</v>
      </c>
      <c r="S30" s="40" t="str">
        <f>VLOOKUP(B:B,[4]查询门店会员消费占比!$B$1:$K$65536,10,0)</f>
        <v>79.43%</v>
      </c>
      <c r="T30" s="41">
        <f t="shared" si="3"/>
        <v>-0.0233513785723277</v>
      </c>
      <c r="U30" s="39"/>
      <c r="V30" s="39"/>
      <c r="W30" s="42">
        <v>5</v>
      </c>
      <c r="X30" s="42">
        <f t="shared" si="4"/>
        <v>-10</v>
      </c>
      <c r="Y30" s="42">
        <f t="shared" si="5"/>
        <v>-10</v>
      </c>
    </row>
    <row r="31" spans="1:25">
      <c r="A31" s="11">
        <v>29</v>
      </c>
      <c r="B31" s="11">
        <v>598</v>
      </c>
      <c r="C31" s="11" t="s">
        <v>30</v>
      </c>
      <c r="D31" s="11"/>
      <c r="E31" s="12" t="s">
        <v>60</v>
      </c>
      <c r="F31" s="13">
        <v>174.66</v>
      </c>
      <c r="G31" s="13">
        <f>VLOOKUP(B:B,[2]原表!$D$1:$J$65536,7,0)</f>
        <v>3323</v>
      </c>
      <c r="H31" s="14">
        <v>0.7083</v>
      </c>
      <c r="I31" s="13">
        <f>G31*0.06</f>
        <v>199.38</v>
      </c>
      <c r="J31" s="13">
        <f t="shared" si="0"/>
        <v>199</v>
      </c>
      <c r="K31" s="13">
        <f>VLOOKUP(B:B,[3]Sheet2!$I$1:$J$65536,2,0)</f>
        <v>208</v>
      </c>
      <c r="L31" s="13">
        <f t="shared" si="1"/>
        <v>9</v>
      </c>
      <c r="M31" s="13"/>
      <c r="N31" s="23">
        <v>0.714816</v>
      </c>
      <c r="O31" s="24">
        <v>0.7083</v>
      </c>
      <c r="P31" s="25">
        <f>O31*1.015</f>
        <v>0.7189245</v>
      </c>
      <c r="Q31" s="39">
        <v>218400</v>
      </c>
      <c r="R31" s="40">
        <f t="shared" si="2"/>
        <v>157013.1108</v>
      </c>
      <c r="S31" s="40" t="str">
        <f>VLOOKUP(B:B,[4]查询门店会员消费占比!$B$1:$K$65536,10,0)</f>
        <v>75.81%</v>
      </c>
      <c r="T31" s="43">
        <f t="shared" si="3"/>
        <v>0.0516759002770084</v>
      </c>
      <c r="U31" s="39"/>
      <c r="V31" s="39">
        <v>100</v>
      </c>
      <c r="W31" s="42">
        <v>15</v>
      </c>
      <c r="X31" s="42">
        <f t="shared" si="4"/>
        <v>-30</v>
      </c>
      <c r="Y31" s="42">
        <f t="shared" si="5"/>
        <v>-30</v>
      </c>
    </row>
    <row r="32" spans="1:25">
      <c r="A32" s="11">
        <v>30</v>
      </c>
      <c r="B32" s="11">
        <v>724</v>
      </c>
      <c r="C32" s="11" t="s">
        <v>30</v>
      </c>
      <c r="D32" s="11"/>
      <c r="E32" s="12" t="s">
        <v>61</v>
      </c>
      <c r="F32" s="13">
        <v>167.84</v>
      </c>
      <c r="G32" s="13">
        <f>VLOOKUP(B:B,[2]原表!$D$1:$J$65536,7,0)</f>
        <v>4768</v>
      </c>
      <c r="H32" s="14">
        <v>0.8421</v>
      </c>
      <c r="I32" s="13">
        <f>G32*0.04</f>
        <v>190.72</v>
      </c>
      <c r="J32" s="13">
        <f t="shared" si="0"/>
        <v>191</v>
      </c>
      <c r="K32" s="13">
        <f>VLOOKUP(B:B,[3]Sheet2!$I$1:$J$65536,2,0)</f>
        <v>88</v>
      </c>
      <c r="L32" s="13">
        <f t="shared" si="1"/>
        <v>-103</v>
      </c>
      <c r="M32" s="13">
        <f>L32*2</f>
        <v>-206</v>
      </c>
      <c r="N32" s="28">
        <v>0.847491</v>
      </c>
      <c r="O32" s="24">
        <v>0.8421</v>
      </c>
      <c r="P32" s="28">
        <f>O32*1.01</f>
        <v>0.850521</v>
      </c>
      <c r="Q32" s="39">
        <v>271440</v>
      </c>
      <c r="R32" s="40">
        <f t="shared" si="2"/>
        <v>230865.42024</v>
      </c>
      <c r="S32" s="40" t="str">
        <f>VLOOKUP(B:B,[4]查询门店会员消费占比!$B$1:$K$65536,10,0)</f>
        <v>83.24%</v>
      </c>
      <c r="T32" s="41">
        <f t="shared" si="3"/>
        <v>-0.0217695819317636</v>
      </c>
      <c r="U32" s="39"/>
      <c r="V32" s="39"/>
      <c r="W32" s="42">
        <v>70</v>
      </c>
      <c r="X32" s="42">
        <f t="shared" si="4"/>
        <v>-140</v>
      </c>
      <c r="Y32" s="42">
        <f t="shared" si="5"/>
        <v>-346</v>
      </c>
    </row>
    <row r="33" spans="1:25">
      <c r="A33" s="11">
        <v>31</v>
      </c>
      <c r="B33" s="11">
        <v>546</v>
      </c>
      <c r="C33" s="11" t="s">
        <v>30</v>
      </c>
      <c r="D33" s="11"/>
      <c r="E33" s="12" t="s">
        <v>62</v>
      </c>
      <c r="F33" s="13">
        <v>165.04</v>
      </c>
      <c r="G33" s="13">
        <f>VLOOKUP(B:B,[2]原表!$D$1:$J$65536,7,0)</f>
        <v>4791</v>
      </c>
      <c r="H33" s="14">
        <v>0.8139</v>
      </c>
      <c r="I33" s="13">
        <f>G33*0.04</f>
        <v>191.64</v>
      </c>
      <c r="J33" s="13">
        <f t="shared" si="0"/>
        <v>192</v>
      </c>
      <c r="K33" s="13">
        <f>VLOOKUP(B:B,[3]Sheet2!$I$1:$J$65536,2,0)</f>
        <v>307</v>
      </c>
      <c r="L33" s="13">
        <f t="shared" si="1"/>
        <v>115</v>
      </c>
      <c r="M33" s="13"/>
      <c r="N33" s="28">
        <v>0.814464</v>
      </c>
      <c r="O33" s="24">
        <v>0.8139</v>
      </c>
      <c r="P33" s="28">
        <f>O33*1.01</f>
        <v>0.822039</v>
      </c>
      <c r="Q33" s="39">
        <v>297960</v>
      </c>
      <c r="R33" s="40">
        <f t="shared" si="2"/>
        <v>244934.74044</v>
      </c>
      <c r="S33" s="40" t="str">
        <f>VLOOKUP(B:B,[4]查询门店会员消费占比!$B$1:$K$65536,10,0)</f>
        <v>80.65%</v>
      </c>
      <c r="T33" s="41">
        <f t="shared" si="3"/>
        <v>-0.0192672039677618</v>
      </c>
      <c r="U33" s="39"/>
      <c r="V33" s="39"/>
      <c r="W33" s="42">
        <v>7</v>
      </c>
      <c r="X33" s="42">
        <f t="shared" si="4"/>
        <v>-14</v>
      </c>
      <c r="Y33" s="42">
        <f t="shared" si="5"/>
        <v>-14</v>
      </c>
    </row>
    <row r="34" spans="1:25">
      <c r="A34" s="11">
        <v>32</v>
      </c>
      <c r="B34" s="11">
        <v>584</v>
      </c>
      <c r="C34" s="11" t="s">
        <v>30</v>
      </c>
      <c r="D34" s="11"/>
      <c r="E34" s="12" t="s">
        <v>63</v>
      </c>
      <c r="F34" s="13">
        <v>180.96</v>
      </c>
      <c r="G34" s="13">
        <f>VLOOKUP(B:B,[2]原表!$D$1:$J$65536,7,0)</f>
        <v>2846</v>
      </c>
      <c r="H34" s="14">
        <v>0.6854</v>
      </c>
      <c r="I34" s="13">
        <f>G34*0.08</f>
        <v>227.68</v>
      </c>
      <c r="J34" s="13">
        <f t="shared" si="0"/>
        <v>228</v>
      </c>
      <c r="K34" s="13">
        <f>VLOOKUP(B:B,[3]Sheet2!$I$1:$J$65536,2,0)</f>
        <v>206</v>
      </c>
      <c r="L34" s="13">
        <f t="shared" si="1"/>
        <v>-22</v>
      </c>
      <c r="M34" s="13">
        <f>L34*2</f>
        <v>-44</v>
      </c>
      <c r="N34" s="23">
        <v>0.666672</v>
      </c>
      <c r="O34" s="24">
        <v>0.6854</v>
      </c>
      <c r="P34" s="30">
        <f>O34*1.025</f>
        <v>0.702535</v>
      </c>
      <c r="Q34" s="39">
        <v>123837</v>
      </c>
      <c r="R34" s="40">
        <f t="shared" si="2"/>
        <v>86999.826795</v>
      </c>
      <c r="S34" s="40" t="str">
        <f>VLOOKUP(B:B,[4]查询门店会员消费占比!$B$1:$K$65536,10,0)</f>
        <v>71.77%</v>
      </c>
      <c r="T34" s="41">
        <f t="shared" si="3"/>
        <v>0.0211299986066603</v>
      </c>
      <c r="U34" s="39"/>
      <c r="V34" s="39"/>
      <c r="W34" s="42">
        <v>13</v>
      </c>
      <c r="X34" s="42">
        <f t="shared" si="4"/>
        <v>-26</v>
      </c>
      <c r="Y34" s="42">
        <f t="shared" si="5"/>
        <v>-70</v>
      </c>
    </row>
    <row r="35" spans="1:25">
      <c r="A35" s="11">
        <v>33</v>
      </c>
      <c r="B35" s="11">
        <v>341</v>
      </c>
      <c r="C35" s="11" t="s">
        <v>45</v>
      </c>
      <c r="D35" s="11"/>
      <c r="E35" s="12" t="s">
        <v>64</v>
      </c>
      <c r="F35" s="13">
        <v>375.72</v>
      </c>
      <c r="G35" s="13">
        <f>VLOOKUP(B:B,[2]原表!$D$1:$J$65536,7,0)</f>
        <v>7005</v>
      </c>
      <c r="H35" s="14">
        <v>0.7372</v>
      </c>
      <c r="I35" s="13">
        <f>G35*0.06</f>
        <v>420.3</v>
      </c>
      <c r="J35" s="13">
        <f t="shared" si="0"/>
        <v>420</v>
      </c>
      <c r="K35" s="13">
        <f>VLOOKUP(B:B,[3]Sheet2!$I$1:$J$65536,2,0)</f>
        <v>367</v>
      </c>
      <c r="L35" s="13">
        <f t="shared" si="1"/>
        <v>-53</v>
      </c>
      <c r="M35" s="13">
        <f>L35*2</f>
        <v>-106</v>
      </c>
      <c r="N35" s="23">
        <v>0.759798</v>
      </c>
      <c r="O35" s="24">
        <v>0.7372</v>
      </c>
      <c r="P35" s="25">
        <f>O35*1.015</f>
        <v>0.748258</v>
      </c>
      <c r="Q35" s="39">
        <v>602550</v>
      </c>
      <c r="R35" s="40">
        <f t="shared" si="2"/>
        <v>450862.8579</v>
      </c>
      <c r="S35" s="40" t="str">
        <f>VLOOKUP(B:B,[4]查询门店会员消费占比!$B$1:$K$65536,10,0)</f>
        <v>73.82%</v>
      </c>
      <c r="T35" s="41">
        <f t="shared" si="3"/>
        <v>-0.0136250338661608</v>
      </c>
      <c r="U35" s="39"/>
      <c r="V35" s="39"/>
      <c r="W35" s="42">
        <v>31</v>
      </c>
      <c r="X35" s="42">
        <f t="shared" si="4"/>
        <v>-62</v>
      </c>
      <c r="Y35" s="42">
        <f t="shared" si="5"/>
        <v>-168</v>
      </c>
    </row>
    <row r="36" spans="1:25">
      <c r="A36" s="11">
        <v>34</v>
      </c>
      <c r="B36" s="11">
        <v>742</v>
      </c>
      <c r="C36" s="11" t="s">
        <v>37</v>
      </c>
      <c r="D36" s="11"/>
      <c r="E36" s="12" t="s">
        <v>65</v>
      </c>
      <c r="F36" s="15">
        <v>130</v>
      </c>
      <c r="G36" s="15">
        <f>VLOOKUP(B:B,[2]原表!$D$1:$J$65536,7,0)</f>
        <v>2509</v>
      </c>
      <c r="H36" s="17">
        <v>0.5678</v>
      </c>
      <c r="I36" s="15">
        <f>G36*0.1</f>
        <v>250.9</v>
      </c>
      <c r="J36" s="15">
        <f>ROUND(I36*0.8,0)</f>
        <v>201</v>
      </c>
      <c r="K36" s="13">
        <f>VLOOKUP(B:B,[3]Sheet2!$I$1:$J$65536,2,0)</f>
        <v>91</v>
      </c>
      <c r="L36" s="13">
        <f t="shared" ref="L36:L67" si="6">K36-J36</f>
        <v>-110</v>
      </c>
      <c r="M36" s="13">
        <f>L36*2</f>
        <v>-220</v>
      </c>
      <c r="N36" s="26">
        <v>0.528564</v>
      </c>
      <c r="O36" s="24">
        <v>0.5678</v>
      </c>
      <c r="P36" s="27">
        <f>O36*1.035</f>
        <v>0.587673</v>
      </c>
      <c r="Q36" s="39">
        <v>268320</v>
      </c>
      <c r="R36" s="40">
        <f t="shared" ref="R36:R67" si="7">P36*Q36</f>
        <v>157684.41936</v>
      </c>
      <c r="S36" s="40" t="str">
        <f>VLOOKUP(B:B,[4]查询门店会员消费占比!$B$1:$K$65536,10,0)</f>
        <v>55.83%</v>
      </c>
      <c r="T36" s="41">
        <f t="shared" ref="T36:T67" si="8">(S36-P36)/S36</f>
        <v>-0.0526114991939815</v>
      </c>
      <c r="U36" s="39"/>
      <c r="V36" s="39"/>
      <c r="W36" s="42">
        <v>12</v>
      </c>
      <c r="X36" s="42">
        <f t="shared" ref="X36:X67" si="9">W36*-2</f>
        <v>-24</v>
      </c>
      <c r="Y36" s="42">
        <f t="shared" ref="Y36:Y67" si="10">X36+M36</f>
        <v>-244</v>
      </c>
    </row>
    <row r="37" spans="1:25">
      <c r="A37" s="11">
        <v>35</v>
      </c>
      <c r="B37" s="11">
        <v>712</v>
      </c>
      <c r="C37" s="11" t="s">
        <v>30</v>
      </c>
      <c r="D37" s="11"/>
      <c r="E37" s="12" t="s">
        <v>66</v>
      </c>
      <c r="F37" s="13">
        <v>418.8</v>
      </c>
      <c r="G37" s="13">
        <f>VLOOKUP(B:B,[2]原表!$D$1:$J$65536,7,0)</f>
        <v>5817</v>
      </c>
      <c r="H37" s="14">
        <v>0.7109</v>
      </c>
      <c r="I37" s="13">
        <f>G37*0.06</f>
        <v>349.02</v>
      </c>
      <c r="J37" s="13">
        <f t="shared" ref="J36:J67" si="11">ROUND(I37,0)</f>
        <v>349</v>
      </c>
      <c r="K37" s="13">
        <f>VLOOKUP(B:B,[3]Sheet2!$I$1:$J$65536,2,0)</f>
        <v>229</v>
      </c>
      <c r="L37" s="13">
        <f t="shared" si="6"/>
        <v>-120</v>
      </c>
      <c r="M37" s="13">
        <f>L37*2</f>
        <v>-240</v>
      </c>
      <c r="N37" s="23">
        <v>0.701862</v>
      </c>
      <c r="O37" s="24">
        <v>0.7109</v>
      </c>
      <c r="P37" s="25">
        <f>O37*1.015</f>
        <v>0.7215635</v>
      </c>
      <c r="Q37" s="39">
        <v>386250</v>
      </c>
      <c r="R37" s="40">
        <f t="shared" si="7"/>
        <v>278703.901875</v>
      </c>
      <c r="S37" s="40" t="str">
        <f>VLOOKUP(B:B,[4]查询门店会员消费占比!$B$1:$K$65536,10,0)</f>
        <v>70.56%</v>
      </c>
      <c r="T37" s="41">
        <f t="shared" si="8"/>
        <v>-0.0226240079365078</v>
      </c>
      <c r="U37" s="39"/>
      <c r="V37" s="39"/>
      <c r="W37" s="42">
        <v>79</v>
      </c>
      <c r="X37" s="42">
        <f t="shared" si="9"/>
        <v>-158</v>
      </c>
      <c r="Y37" s="42">
        <f t="shared" si="10"/>
        <v>-398</v>
      </c>
    </row>
    <row r="38" spans="1:25">
      <c r="A38" s="11">
        <v>36</v>
      </c>
      <c r="B38" s="11">
        <v>513</v>
      </c>
      <c r="C38" s="11" t="s">
        <v>27</v>
      </c>
      <c r="D38" s="11"/>
      <c r="E38" s="12" t="s">
        <v>67</v>
      </c>
      <c r="F38" s="13">
        <v>147.08</v>
      </c>
      <c r="G38" s="13">
        <f>VLOOKUP(B:B,[2]原表!$D$1:$J$65536,7,0)</f>
        <v>4102</v>
      </c>
      <c r="H38" s="14">
        <v>0.8257</v>
      </c>
      <c r="I38" s="13">
        <f>G38*0.04</f>
        <v>164.08</v>
      </c>
      <c r="J38" s="13">
        <f t="shared" si="11"/>
        <v>164</v>
      </c>
      <c r="K38" s="13">
        <f>VLOOKUP(B:B,[3]Sheet2!$I$1:$J$65536,2,0)</f>
        <v>163</v>
      </c>
      <c r="L38" s="13">
        <f t="shared" si="6"/>
        <v>-1</v>
      </c>
      <c r="M38" s="13">
        <f>L38*2</f>
        <v>-2</v>
      </c>
      <c r="N38" s="28">
        <v>0.84032</v>
      </c>
      <c r="O38" s="24">
        <v>0.8257</v>
      </c>
      <c r="P38" s="28">
        <f>O38*1.01</f>
        <v>0.833957</v>
      </c>
      <c r="Q38" s="39">
        <v>249600</v>
      </c>
      <c r="R38" s="40">
        <f t="shared" si="7"/>
        <v>208155.6672</v>
      </c>
      <c r="S38" s="40" t="str">
        <f>VLOOKUP(B:B,[4]查询门店会员消费占比!$B$1:$K$65536,10,0)</f>
        <v>83.07%</v>
      </c>
      <c r="T38" s="44">
        <f t="shared" si="8"/>
        <v>-0.00392078969543766</v>
      </c>
      <c r="U38" s="39"/>
      <c r="V38" s="39"/>
      <c r="W38" s="42">
        <v>0</v>
      </c>
      <c r="X38" s="42">
        <f t="shared" si="9"/>
        <v>0</v>
      </c>
      <c r="Y38" s="42">
        <f t="shared" si="10"/>
        <v>-2</v>
      </c>
    </row>
    <row r="39" spans="1:25">
      <c r="A39" s="11">
        <v>37</v>
      </c>
      <c r="B39" s="11">
        <v>746</v>
      </c>
      <c r="C39" s="11" t="s">
        <v>45</v>
      </c>
      <c r="D39" s="11"/>
      <c r="E39" s="12" t="s">
        <v>68</v>
      </c>
      <c r="F39" s="13">
        <v>129.56</v>
      </c>
      <c r="G39" s="13">
        <f>VLOOKUP(B:B,[2]原表!$D$1:$J$65536,7,0)</f>
        <v>3653</v>
      </c>
      <c r="H39" s="14">
        <v>0.8233</v>
      </c>
      <c r="I39" s="13">
        <f>G39*0.04</f>
        <v>146.12</v>
      </c>
      <c r="J39" s="13">
        <f t="shared" si="11"/>
        <v>146</v>
      </c>
      <c r="K39" s="13">
        <f>VLOOKUP(B:B,[3]Sheet2!$I$1:$J$65536,2,0)</f>
        <v>184</v>
      </c>
      <c r="L39" s="13">
        <f t="shared" si="6"/>
        <v>38</v>
      </c>
      <c r="M39" s="13"/>
      <c r="N39" s="28">
        <v>0.8585</v>
      </c>
      <c r="O39" s="24">
        <v>0.8233</v>
      </c>
      <c r="P39" s="28">
        <f>O39*1.01</f>
        <v>0.831533</v>
      </c>
      <c r="Q39" s="39">
        <v>194400</v>
      </c>
      <c r="R39" s="40">
        <f t="shared" si="7"/>
        <v>161650.0152</v>
      </c>
      <c r="S39" s="40" t="str">
        <f>VLOOKUP(B:B,[4]查询门店会员消费占比!$B$1:$K$65536,10,0)</f>
        <v>79.39%</v>
      </c>
      <c r="T39" s="41">
        <f t="shared" si="8"/>
        <v>-0.0474026955535962</v>
      </c>
      <c r="U39" s="39"/>
      <c r="V39" s="39"/>
      <c r="W39" s="42">
        <v>3</v>
      </c>
      <c r="X39" s="42">
        <f t="shared" si="9"/>
        <v>-6</v>
      </c>
      <c r="Y39" s="42">
        <f t="shared" si="10"/>
        <v>-6</v>
      </c>
    </row>
    <row r="40" spans="1:25">
      <c r="A40" s="11">
        <v>38</v>
      </c>
      <c r="B40" s="11">
        <v>307</v>
      </c>
      <c r="C40" s="11" t="s">
        <v>69</v>
      </c>
      <c r="D40" s="11"/>
      <c r="E40" s="12" t="s">
        <v>70</v>
      </c>
      <c r="F40" s="13">
        <v>1156.08</v>
      </c>
      <c r="G40" s="13">
        <f>VLOOKUP(B:B,[2]原表!$D$1:$J$65536,7,0)</f>
        <v>15692</v>
      </c>
      <c r="H40" s="14">
        <v>0.6543</v>
      </c>
      <c r="I40" s="13">
        <f>G40*0.08</f>
        <v>1255.36</v>
      </c>
      <c r="J40" s="13">
        <f t="shared" si="11"/>
        <v>1255</v>
      </c>
      <c r="K40" s="13">
        <f>VLOOKUP(B:B,[3]Sheet2!$I$1:$J$65536,2,0)</f>
        <v>859</v>
      </c>
      <c r="L40" s="13">
        <f t="shared" si="6"/>
        <v>-396</v>
      </c>
      <c r="M40" s="13">
        <f>L40*2</f>
        <v>-792</v>
      </c>
      <c r="N40" s="23">
        <v>0.666162</v>
      </c>
      <c r="O40" s="24">
        <v>0.6543</v>
      </c>
      <c r="P40" s="30">
        <f>O40*1.025</f>
        <v>0.6706575</v>
      </c>
      <c r="Q40" s="39">
        <v>2184000</v>
      </c>
      <c r="R40" s="40">
        <f t="shared" si="7"/>
        <v>1464715.98</v>
      </c>
      <c r="S40" s="40" t="str">
        <f>VLOOKUP(B:B,[4]查询门店会员消费占比!$B$1:$K$65536,10,0)</f>
        <v>67.42%</v>
      </c>
      <c r="T40" s="41">
        <f t="shared" si="8"/>
        <v>0.00525437555621494</v>
      </c>
      <c r="U40" s="39"/>
      <c r="V40" s="39"/>
      <c r="W40" s="42">
        <v>240</v>
      </c>
      <c r="X40" s="42">
        <f t="shared" si="9"/>
        <v>-480</v>
      </c>
      <c r="Y40" s="42">
        <f t="shared" si="10"/>
        <v>-1272</v>
      </c>
    </row>
    <row r="41" spans="1:25">
      <c r="A41" s="11">
        <v>39</v>
      </c>
      <c r="B41" s="11">
        <v>721</v>
      </c>
      <c r="C41" s="11" t="s">
        <v>45</v>
      </c>
      <c r="D41" s="11"/>
      <c r="E41" s="12" t="s">
        <v>71</v>
      </c>
      <c r="F41" s="13">
        <v>95.24</v>
      </c>
      <c r="G41" s="13">
        <f>VLOOKUP(B:B,[2]原表!$D$1:$J$65536,7,0)</f>
        <v>2820</v>
      </c>
      <c r="H41" s="14">
        <v>0.8789</v>
      </c>
      <c r="I41" s="13">
        <f>G41*0.04</f>
        <v>112.8</v>
      </c>
      <c r="J41" s="13">
        <f t="shared" si="11"/>
        <v>113</v>
      </c>
      <c r="K41" s="13">
        <f>VLOOKUP(B:B,[3]Sheet2!$I$1:$J$65536,2,0)</f>
        <v>178</v>
      </c>
      <c r="L41" s="13">
        <f t="shared" si="6"/>
        <v>65</v>
      </c>
      <c r="M41" s="13"/>
      <c r="N41" s="28">
        <v>0.896981</v>
      </c>
      <c r="O41" s="24">
        <v>0.8789</v>
      </c>
      <c r="P41" s="28">
        <f>O41*1.01</f>
        <v>0.887689</v>
      </c>
      <c r="Q41" s="39">
        <v>162240</v>
      </c>
      <c r="R41" s="40">
        <f t="shared" si="7"/>
        <v>144018.66336</v>
      </c>
      <c r="S41" s="40" t="str">
        <f>VLOOKUP(B:B,[4]查询门店会员消费占比!$B$1:$K$65536,10,0)</f>
        <v>85.65%</v>
      </c>
      <c r="T41" s="41">
        <f t="shared" si="8"/>
        <v>-0.0364144775248103</v>
      </c>
      <c r="U41" s="39"/>
      <c r="V41" s="39"/>
      <c r="W41" s="42">
        <v>1</v>
      </c>
      <c r="X41" s="42">
        <f t="shared" si="9"/>
        <v>-2</v>
      </c>
      <c r="Y41" s="42">
        <f t="shared" si="10"/>
        <v>-2</v>
      </c>
    </row>
    <row r="42" spans="1:25">
      <c r="A42" s="11">
        <v>40</v>
      </c>
      <c r="B42" s="11">
        <v>371</v>
      </c>
      <c r="C42" s="11" t="s">
        <v>45</v>
      </c>
      <c r="D42" s="11"/>
      <c r="E42" s="12" t="s">
        <v>72</v>
      </c>
      <c r="F42" s="13">
        <v>107.58</v>
      </c>
      <c r="G42" s="13">
        <f>VLOOKUP(B:B,[2]原表!$D$1:$J$65536,7,0)</f>
        <v>1907</v>
      </c>
      <c r="H42" s="14">
        <v>0.8021</v>
      </c>
      <c r="I42" s="13">
        <f>G42*0.04</f>
        <v>76.28</v>
      </c>
      <c r="J42" s="13">
        <f t="shared" si="11"/>
        <v>76</v>
      </c>
      <c r="K42" s="13">
        <f>VLOOKUP(B:B,[3]Sheet2!$I$1:$J$65536,2,0)</f>
        <v>107</v>
      </c>
      <c r="L42" s="13">
        <f t="shared" si="6"/>
        <v>31</v>
      </c>
      <c r="M42" s="13"/>
      <c r="N42" s="28">
        <v>0.774771</v>
      </c>
      <c r="O42" s="24">
        <v>0.8021</v>
      </c>
      <c r="P42" s="28">
        <f>O42*1.01</f>
        <v>0.810121</v>
      </c>
      <c r="Q42" s="39">
        <v>120840</v>
      </c>
      <c r="R42" s="40">
        <f t="shared" si="7"/>
        <v>97895.02164</v>
      </c>
      <c r="S42" s="40" t="str">
        <f>VLOOKUP(B:B,[4]查询门店会员消费占比!$B$1:$K$65536,10,0)</f>
        <v>78.55%</v>
      </c>
      <c r="T42" s="41">
        <f t="shared" si="8"/>
        <v>-0.0313443666454489</v>
      </c>
      <c r="U42" s="39"/>
      <c r="V42" s="39"/>
      <c r="W42" s="42">
        <v>2</v>
      </c>
      <c r="X42" s="42">
        <f t="shared" si="9"/>
        <v>-4</v>
      </c>
      <c r="Y42" s="42">
        <f t="shared" si="10"/>
        <v>-4</v>
      </c>
    </row>
    <row r="43" spans="1:25">
      <c r="A43" s="11">
        <v>41</v>
      </c>
      <c r="B43" s="11">
        <v>343</v>
      </c>
      <c r="C43" s="11" t="s">
        <v>27</v>
      </c>
      <c r="D43" s="11"/>
      <c r="E43" s="12" t="s">
        <v>73</v>
      </c>
      <c r="F43" s="13">
        <v>199.88</v>
      </c>
      <c r="G43" s="13">
        <f>VLOOKUP(B:B,[2]原表!$D$1:$J$65536,7,0)</f>
        <v>5612</v>
      </c>
      <c r="H43" s="14">
        <v>0.903</v>
      </c>
      <c r="I43" s="13">
        <f>G43*0.04</f>
        <v>224.48</v>
      </c>
      <c r="J43" s="13">
        <f t="shared" si="11"/>
        <v>224</v>
      </c>
      <c r="K43" s="13">
        <f>VLOOKUP(B:B,[3]Sheet2!$I$1:$J$65536,2,0)</f>
        <v>49</v>
      </c>
      <c r="L43" s="13">
        <f t="shared" si="6"/>
        <v>-175</v>
      </c>
      <c r="M43" s="13">
        <f>L43*2</f>
        <v>-350</v>
      </c>
      <c r="N43" s="28">
        <v>0.891628</v>
      </c>
      <c r="O43" s="24">
        <v>0.903</v>
      </c>
      <c r="P43" s="31">
        <f>O43</f>
        <v>0.903</v>
      </c>
      <c r="Q43" s="39">
        <v>618000</v>
      </c>
      <c r="R43" s="40">
        <f t="shared" si="7"/>
        <v>558054</v>
      </c>
      <c r="S43" s="40" t="str">
        <f>VLOOKUP(B:B,[4]查询门店会员消费占比!$B$1:$K$65536,10,0)</f>
        <v>89.36%</v>
      </c>
      <c r="T43" s="41">
        <f t="shared" si="8"/>
        <v>-0.010519247985676</v>
      </c>
      <c r="U43" s="39"/>
      <c r="V43" s="39"/>
      <c r="W43" s="42">
        <v>92</v>
      </c>
      <c r="X43" s="42">
        <f t="shared" si="9"/>
        <v>-184</v>
      </c>
      <c r="Y43" s="42">
        <f t="shared" si="10"/>
        <v>-534</v>
      </c>
    </row>
    <row r="44" spans="1:25">
      <c r="A44" s="11">
        <v>42</v>
      </c>
      <c r="B44" s="11">
        <v>718</v>
      </c>
      <c r="C44" s="11" t="s">
        <v>37</v>
      </c>
      <c r="D44" s="11"/>
      <c r="E44" s="12" t="s">
        <v>74</v>
      </c>
      <c r="F44" s="13">
        <v>44.32</v>
      </c>
      <c r="G44" s="13">
        <f>VLOOKUP(B:B,[2]原表!$D$1:$J$65536,7,0)</f>
        <v>1378</v>
      </c>
      <c r="H44" s="14">
        <v>0.8129</v>
      </c>
      <c r="I44" s="13">
        <f>G44*0.04</f>
        <v>55.12</v>
      </c>
      <c r="J44" s="13">
        <f t="shared" si="11"/>
        <v>55</v>
      </c>
      <c r="K44" s="13">
        <f>VLOOKUP(B:B,[3]Sheet2!$I$1:$J$65536,2,0)</f>
        <v>54</v>
      </c>
      <c r="L44" s="13">
        <f t="shared" si="6"/>
        <v>-1</v>
      </c>
      <c r="M44" s="13">
        <f>L44*2</f>
        <v>-2</v>
      </c>
      <c r="N44" s="28">
        <v>0.855369</v>
      </c>
      <c r="O44" s="24">
        <v>0.8129</v>
      </c>
      <c r="P44" s="28">
        <f>O44*1.01</f>
        <v>0.821029</v>
      </c>
      <c r="Q44" s="39">
        <v>95400</v>
      </c>
      <c r="R44" s="40">
        <f t="shared" si="7"/>
        <v>78326.1666</v>
      </c>
      <c r="S44" s="40" t="str">
        <f>VLOOKUP(B:B,[4]查询门店会员消费占比!$B$1:$K$65536,10,0)</f>
        <v>71.9%</v>
      </c>
      <c r="T44" s="41">
        <f t="shared" si="8"/>
        <v>-0.141904033379694</v>
      </c>
      <c r="U44" s="39"/>
      <c r="V44" s="39"/>
      <c r="W44" s="42">
        <v>9</v>
      </c>
      <c r="X44" s="42">
        <f t="shared" si="9"/>
        <v>-18</v>
      </c>
      <c r="Y44" s="42">
        <f t="shared" si="10"/>
        <v>-20</v>
      </c>
    </row>
    <row r="45" spans="1:25">
      <c r="A45" s="11">
        <v>43</v>
      </c>
      <c r="B45" s="11">
        <v>571</v>
      </c>
      <c r="C45" s="11" t="s">
        <v>30</v>
      </c>
      <c r="D45" s="11"/>
      <c r="E45" s="12" t="s">
        <v>75</v>
      </c>
      <c r="F45" s="13">
        <v>200.6</v>
      </c>
      <c r="G45" s="13">
        <f>VLOOKUP(B:B,[2]原表!$D$1:$J$65536,7,0)</f>
        <v>5619</v>
      </c>
      <c r="H45" s="14">
        <v>0.8335</v>
      </c>
      <c r="I45" s="13">
        <f>G45*0.04</f>
        <v>224.76</v>
      </c>
      <c r="J45" s="13">
        <f t="shared" si="11"/>
        <v>225</v>
      </c>
      <c r="K45" s="13">
        <f>VLOOKUP(B:B,[3]Sheet2!$I$1:$J$65536,2,0)</f>
        <v>195</v>
      </c>
      <c r="L45" s="13">
        <f t="shared" si="6"/>
        <v>-30</v>
      </c>
      <c r="M45" s="13">
        <f>L45*2</f>
        <v>-60</v>
      </c>
      <c r="N45" s="28">
        <v>0.838704</v>
      </c>
      <c r="O45" s="24">
        <v>0.8335</v>
      </c>
      <c r="P45" s="28">
        <f>O45*1.01</f>
        <v>0.841835</v>
      </c>
      <c r="Q45" s="39">
        <v>509850</v>
      </c>
      <c r="R45" s="40">
        <f t="shared" si="7"/>
        <v>429209.57475</v>
      </c>
      <c r="S45" s="40" t="str">
        <f>VLOOKUP(B:B,[4]查询门店会员消费占比!$B$1:$K$65536,10,0)</f>
        <v>79.97%</v>
      </c>
      <c r="T45" s="41">
        <f t="shared" si="8"/>
        <v>-0.0526885081905715</v>
      </c>
      <c r="U45" s="39"/>
      <c r="V45" s="39"/>
      <c r="W45" s="42">
        <v>56</v>
      </c>
      <c r="X45" s="42">
        <f t="shared" si="9"/>
        <v>-112</v>
      </c>
      <c r="Y45" s="42">
        <f t="shared" si="10"/>
        <v>-172</v>
      </c>
    </row>
    <row r="46" spans="1:25">
      <c r="A46" s="11">
        <v>44</v>
      </c>
      <c r="B46" s="11">
        <v>355</v>
      </c>
      <c r="C46" s="11" t="s">
        <v>37</v>
      </c>
      <c r="D46" s="11"/>
      <c r="E46" s="12" t="s">
        <v>76</v>
      </c>
      <c r="F46" s="13">
        <v>235.04</v>
      </c>
      <c r="G46" s="13">
        <f>VLOOKUP(B:B,[2]原表!$D$1:$J$65536,7,0)</f>
        <v>3506</v>
      </c>
      <c r="H46" s="14">
        <v>0.6522</v>
      </c>
      <c r="I46" s="13">
        <f>G46*0.08</f>
        <v>280.48</v>
      </c>
      <c r="J46" s="15">
        <v>235</v>
      </c>
      <c r="K46" s="13">
        <f>VLOOKUP(B:B,[3]Sheet2!$I$1:$J$65536,2,0)</f>
        <v>99</v>
      </c>
      <c r="L46" s="13">
        <f t="shared" si="6"/>
        <v>-136</v>
      </c>
      <c r="M46" s="13">
        <f>L46*2</f>
        <v>-272</v>
      </c>
      <c r="N46" s="23">
        <v>0.660552</v>
      </c>
      <c r="O46" s="24">
        <v>0.6522</v>
      </c>
      <c r="P46" s="30">
        <f>O46*1.025</f>
        <v>0.668505</v>
      </c>
      <c r="Q46" s="39">
        <v>242525</v>
      </c>
      <c r="R46" s="40">
        <f t="shared" si="7"/>
        <v>162129.175125</v>
      </c>
      <c r="S46" s="40" t="str">
        <f>VLOOKUP(B:B,[4]查询门店会员消费占比!$B$1:$K$65536,10,0)</f>
        <v>60.71%</v>
      </c>
      <c r="T46" s="41">
        <f t="shared" si="8"/>
        <v>-0.101144786690825</v>
      </c>
      <c r="U46" s="39"/>
      <c r="V46" s="39"/>
      <c r="W46" s="42">
        <v>32</v>
      </c>
      <c r="X46" s="42">
        <f t="shared" si="9"/>
        <v>-64</v>
      </c>
      <c r="Y46" s="42">
        <f t="shared" si="10"/>
        <v>-336</v>
      </c>
    </row>
    <row r="47" spans="1:25">
      <c r="A47" s="11">
        <v>45</v>
      </c>
      <c r="B47" s="11">
        <v>515</v>
      </c>
      <c r="C47" s="11" t="s">
        <v>37</v>
      </c>
      <c r="D47" s="11"/>
      <c r="E47" s="12" t="s">
        <v>77</v>
      </c>
      <c r="F47" s="13">
        <v>187.38</v>
      </c>
      <c r="G47" s="13">
        <f>VLOOKUP(B:B,[2]原表!$D$1:$J$65536,7,0)</f>
        <v>3400</v>
      </c>
      <c r="H47" s="14">
        <v>0.7717</v>
      </c>
      <c r="I47" s="13">
        <f>G47*0.06</f>
        <v>204</v>
      </c>
      <c r="J47" s="13">
        <f t="shared" si="11"/>
        <v>204</v>
      </c>
      <c r="K47" s="13">
        <f>VLOOKUP(B:B,[3]Sheet2!$I$1:$J$65536,2,0)</f>
        <v>80</v>
      </c>
      <c r="L47" s="13">
        <f t="shared" si="6"/>
        <v>-124</v>
      </c>
      <c r="M47" s="13">
        <f>L47*2</f>
        <v>-248</v>
      </c>
      <c r="N47" s="28">
        <v>0.807293</v>
      </c>
      <c r="O47" s="24">
        <v>0.7717</v>
      </c>
      <c r="P47" s="25">
        <f>O47*1.015</f>
        <v>0.7832755</v>
      </c>
      <c r="Q47" s="39">
        <v>212160</v>
      </c>
      <c r="R47" s="40">
        <f t="shared" si="7"/>
        <v>166179.73008</v>
      </c>
      <c r="S47" s="40" t="str">
        <f>VLOOKUP(B:B,[4]查询门店会员消费占比!$B$1:$K$65536,10,0)</f>
        <v>77.91%</v>
      </c>
      <c r="T47" s="41">
        <f t="shared" si="8"/>
        <v>-0.00535938903863432</v>
      </c>
      <c r="U47" s="39"/>
      <c r="V47" s="39"/>
      <c r="W47" s="42">
        <v>28</v>
      </c>
      <c r="X47" s="42">
        <f t="shared" si="9"/>
        <v>-56</v>
      </c>
      <c r="Y47" s="42">
        <f t="shared" si="10"/>
        <v>-304</v>
      </c>
    </row>
    <row r="48" spans="1:25">
      <c r="A48" s="11">
        <v>46</v>
      </c>
      <c r="B48" s="11">
        <v>56</v>
      </c>
      <c r="C48" s="11" t="s">
        <v>32</v>
      </c>
      <c r="D48" s="11"/>
      <c r="E48" s="12" t="s">
        <v>78</v>
      </c>
      <c r="F48" s="13">
        <v>59.88</v>
      </c>
      <c r="G48" s="13">
        <f>VLOOKUP(B:B,[2]原表!$D$1:$J$65536,7,0)</f>
        <v>1491</v>
      </c>
      <c r="H48" s="14">
        <v>0.8972</v>
      </c>
      <c r="I48" s="13">
        <f>G48*0.04</f>
        <v>59.64</v>
      </c>
      <c r="J48" s="13">
        <f t="shared" si="11"/>
        <v>60</v>
      </c>
      <c r="K48" s="13">
        <f>VLOOKUP(B:B,[3]Sheet2!$I$1:$J$65536,2,0)</f>
        <v>66</v>
      </c>
      <c r="L48" s="13">
        <f t="shared" si="6"/>
        <v>6</v>
      </c>
      <c r="M48" s="13"/>
      <c r="N48" s="31">
        <v>0.91</v>
      </c>
      <c r="O48" s="24">
        <v>0.8972</v>
      </c>
      <c r="P48" s="28">
        <f>O48*1.01</f>
        <v>0.906172</v>
      </c>
      <c r="Q48" s="39">
        <v>110880</v>
      </c>
      <c r="R48" s="40">
        <f t="shared" si="7"/>
        <v>100476.35136</v>
      </c>
      <c r="S48" s="40" t="str">
        <f>VLOOKUP(B:B,[4]查询门店会员消费占比!$B$1:$K$65536,10,0)</f>
        <v>88.87%</v>
      </c>
      <c r="T48" s="41">
        <f t="shared" si="8"/>
        <v>-0.0196601777877798</v>
      </c>
      <c r="U48" s="39"/>
      <c r="V48" s="39"/>
      <c r="W48" s="42">
        <v>1</v>
      </c>
      <c r="X48" s="42">
        <f t="shared" si="9"/>
        <v>-2</v>
      </c>
      <c r="Y48" s="42">
        <f t="shared" si="10"/>
        <v>-2</v>
      </c>
    </row>
    <row r="49" spans="1:25">
      <c r="A49" s="11">
        <v>47</v>
      </c>
      <c r="B49" s="11">
        <v>730</v>
      </c>
      <c r="C49" s="11" t="s">
        <v>27</v>
      </c>
      <c r="D49" s="11"/>
      <c r="E49" s="12" t="s">
        <v>79</v>
      </c>
      <c r="F49" s="13">
        <v>229.08</v>
      </c>
      <c r="G49" s="13">
        <f>VLOOKUP(B:B,[2]原表!$D$1:$J$65536,7,0)</f>
        <v>4497</v>
      </c>
      <c r="H49" s="14">
        <v>0.6458</v>
      </c>
      <c r="I49" s="13">
        <f>G49*0.08</f>
        <v>359.76</v>
      </c>
      <c r="J49" s="13">
        <f t="shared" si="11"/>
        <v>360</v>
      </c>
      <c r="K49" s="13">
        <f>VLOOKUP(B:B,[3]Sheet2!$I$1:$J$65536,2,0)</f>
        <v>366</v>
      </c>
      <c r="L49" s="13">
        <f t="shared" si="6"/>
        <v>6</v>
      </c>
      <c r="M49" s="13"/>
      <c r="N49" s="23">
        <v>0.7344</v>
      </c>
      <c r="O49" s="24">
        <v>0.6458</v>
      </c>
      <c r="P49" s="30">
        <f>O49*1.025</f>
        <v>0.661945</v>
      </c>
      <c r="Q49" s="39">
        <v>274560</v>
      </c>
      <c r="R49" s="40">
        <f t="shared" si="7"/>
        <v>181743.6192</v>
      </c>
      <c r="S49" s="40" t="str">
        <f>VLOOKUP(B:B,[4]查询门店会员消费占比!$B$1:$K$65536,10,0)</f>
        <v>67.78%</v>
      </c>
      <c r="T49" s="41">
        <f t="shared" si="8"/>
        <v>0.0233918560047211</v>
      </c>
      <c r="U49" s="39"/>
      <c r="V49" s="39"/>
      <c r="W49" s="42">
        <v>5</v>
      </c>
      <c r="X49" s="42">
        <f t="shared" si="9"/>
        <v>-10</v>
      </c>
      <c r="Y49" s="42">
        <f t="shared" si="10"/>
        <v>-10</v>
      </c>
    </row>
    <row r="50" spans="1:25">
      <c r="A50" s="11">
        <v>48</v>
      </c>
      <c r="B50" s="11">
        <v>377</v>
      </c>
      <c r="C50" s="11" t="s">
        <v>30</v>
      </c>
      <c r="D50" s="11"/>
      <c r="E50" s="12" t="s">
        <v>80</v>
      </c>
      <c r="F50" s="13">
        <v>233.76</v>
      </c>
      <c r="G50" s="13">
        <f>VLOOKUP(B:B,[2]原表!$D$1:$J$65536,7,0)</f>
        <v>4438</v>
      </c>
      <c r="H50" s="14">
        <v>0.7752</v>
      </c>
      <c r="I50" s="13">
        <f>G50*0.06</f>
        <v>266.28</v>
      </c>
      <c r="J50" s="13">
        <f t="shared" si="11"/>
        <v>266</v>
      </c>
      <c r="K50" s="13">
        <f>VLOOKUP(B:B,[3]Sheet2!$I$1:$J$65536,2,0)</f>
        <v>234</v>
      </c>
      <c r="L50" s="13">
        <f t="shared" si="6"/>
        <v>-32</v>
      </c>
      <c r="M50" s="13">
        <f>L50*2</f>
        <v>-64</v>
      </c>
      <c r="N50" s="23">
        <v>0.753576</v>
      </c>
      <c r="O50" s="24">
        <v>0.7752</v>
      </c>
      <c r="P50" s="25">
        <f>O50*1.015</f>
        <v>0.786828</v>
      </c>
      <c r="Q50" s="39">
        <v>234000</v>
      </c>
      <c r="R50" s="40">
        <f t="shared" si="7"/>
        <v>184117.752</v>
      </c>
      <c r="S50" s="40" t="str">
        <f>VLOOKUP(B:B,[4]查询门店会员消费占比!$B$1:$K$65536,10,0)</f>
        <v>77.72%</v>
      </c>
      <c r="T50" s="41">
        <f t="shared" si="8"/>
        <v>-0.0123880597014925</v>
      </c>
      <c r="U50" s="39"/>
      <c r="V50" s="39"/>
      <c r="W50" s="42">
        <v>27</v>
      </c>
      <c r="X50" s="42">
        <f t="shared" si="9"/>
        <v>-54</v>
      </c>
      <c r="Y50" s="42">
        <f t="shared" si="10"/>
        <v>-118</v>
      </c>
    </row>
    <row r="51" spans="1:25">
      <c r="A51" s="11">
        <v>49</v>
      </c>
      <c r="B51" s="11">
        <v>704</v>
      </c>
      <c r="C51" s="11" t="s">
        <v>32</v>
      </c>
      <c r="D51" s="11"/>
      <c r="E51" s="12" t="s">
        <v>81</v>
      </c>
      <c r="F51" s="13">
        <v>114.9</v>
      </c>
      <c r="G51" s="13">
        <f>VLOOKUP(B:B,[2]原表!$D$1:$J$65536,7,0)</f>
        <v>2123</v>
      </c>
      <c r="H51" s="14">
        <v>0.8161</v>
      </c>
      <c r="I51" s="13">
        <f>G51*0.04</f>
        <v>84.92</v>
      </c>
      <c r="J51" s="13">
        <f t="shared" si="11"/>
        <v>85</v>
      </c>
      <c r="K51" s="13">
        <f>VLOOKUP(B:B,[3]Sheet2!$I$1:$J$65536,2,0)</f>
        <v>106</v>
      </c>
      <c r="L51" s="13">
        <f t="shared" si="6"/>
        <v>21</v>
      </c>
      <c r="M51" s="13"/>
      <c r="N51" s="28">
        <v>0.787699</v>
      </c>
      <c r="O51" s="24">
        <v>0.8161</v>
      </c>
      <c r="P51" s="28">
        <f>O51*1.01</f>
        <v>0.824261</v>
      </c>
      <c r="Q51" s="39">
        <v>171600</v>
      </c>
      <c r="R51" s="40">
        <f t="shared" si="7"/>
        <v>141443.1876</v>
      </c>
      <c r="S51" s="40" t="str">
        <f>VLOOKUP(B:B,[4]查询门店会员消费占比!$B$1:$K$65536,10,0)</f>
        <v>76.82%</v>
      </c>
      <c r="T51" s="41">
        <f t="shared" si="8"/>
        <v>-0.0729770892996617</v>
      </c>
      <c r="U51" s="39"/>
      <c r="V51" s="39"/>
      <c r="W51" s="42">
        <v>3</v>
      </c>
      <c r="X51" s="42">
        <f t="shared" si="9"/>
        <v>-6</v>
      </c>
      <c r="Y51" s="42">
        <f t="shared" si="10"/>
        <v>-6</v>
      </c>
    </row>
    <row r="52" spans="1:25">
      <c r="A52" s="11">
        <v>50</v>
      </c>
      <c r="B52" s="11">
        <v>337</v>
      </c>
      <c r="C52" s="11" t="s">
        <v>37</v>
      </c>
      <c r="D52" s="11"/>
      <c r="E52" s="12" t="s">
        <v>82</v>
      </c>
      <c r="F52" s="15">
        <v>409.68</v>
      </c>
      <c r="G52" s="13">
        <f>VLOOKUP(B:B,[2]原表!$D$1:$J$65536,7,0)</f>
        <v>4267</v>
      </c>
      <c r="H52" s="14">
        <v>0.5943</v>
      </c>
      <c r="I52" s="13">
        <f>G52*0.1</f>
        <v>426.7</v>
      </c>
      <c r="J52" s="15">
        <f t="shared" si="11"/>
        <v>427</v>
      </c>
      <c r="K52" s="13">
        <f>VLOOKUP(B:B,[3]Sheet2!$I$1:$J$65536,2,0)</f>
        <v>682</v>
      </c>
      <c r="L52" s="13">
        <f t="shared" si="6"/>
        <v>255</v>
      </c>
      <c r="M52" s="15"/>
      <c r="N52" s="32">
        <v>0.469886</v>
      </c>
      <c r="O52" s="24">
        <v>0.5943</v>
      </c>
      <c r="P52" s="27">
        <f>O52*1.035</f>
        <v>0.6151005</v>
      </c>
      <c r="Q52" s="39">
        <v>850500</v>
      </c>
      <c r="R52" s="40">
        <f t="shared" si="7"/>
        <v>523142.97525</v>
      </c>
      <c r="S52" s="40" t="str">
        <f>VLOOKUP(B:B,[4]查询门店会员消费占比!$B$1:$K$65536,10,0)</f>
        <v>60.86%</v>
      </c>
      <c r="T52" s="41">
        <f t="shared" si="8"/>
        <v>-0.0106810713112061</v>
      </c>
      <c r="U52" s="39"/>
      <c r="V52" s="39"/>
      <c r="W52" s="42">
        <v>23</v>
      </c>
      <c r="X52" s="42">
        <f t="shared" si="9"/>
        <v>-46</v>
      </c>
      <c r="Y52" s="42">
        <f t="shared" si="10"/>
        <v>-46</v>
      </c>
    </row>
    <row r="53" spans="1:25">
      <c r="A53" s="11">
        <v>51</v>
      </c>
      <c r="B53" s="11">
        <v>581</v>
      </c>
      <c r="C53" s="11" t="s">
        <v>27</v>
      </c>
      <c r="D53" s="11"/>
      <c r="E53" s="12" t="s">
        <v>83</v>
      </c>
      <c r="F53" s="13">
        <v>324.96</v>
      </c>
      <c r="G53" s="13">
        <f>VLOOKUP(B:B,[2]原表!$D$1:$J$65536,7,0)</f>
        <v>5969</v>
      </c>
      <c r="H53" s="14">
        <v>0.7127</v>
      </c>
      <c r="I53" s="13">
        <f>G53*0.06</f>
        <v>358.14</v>
      </c>
      <c r="J53" s="15">
        <v>315</v>
      </c>
      <c r="K53" s="13">
        <f>VLOOKUP(B:B,[3]Sheet2!$I$1:$J$65536,2,0)</f>
        <v>149</v>
      </c>
      <c r="L53" s="13">
        <f t="shared" si="6"/>
        <v>-166</v>
      </c>
      <c r="M53" s="13">
        <f>L53*2</f>
        <v>-332</v>
      </c>
      <c r="N53" s="23">
        <v>0.748782</v>
      </c>
      <c r="O53" s="24">
        <v>0.7127</v>
      </c>
      <c r="P53" s="25">
        <f>O53*1.015</f>
        <v>0.7233905</v>
      </c>
      <c r="Q53" s="39">
        <v>312000</v>
      </c>
      <c r="R53" s="40">
        <f t="shared" si="7"/>
        <v>225697.836</v>
      </c>
      <c r="S53" s="40" t="str">
        <f>VLOOKUP(B:B,[4]查询门店会员消费占比!$B$1:$K$65536,10,0)</f>
        <v>73.1%</v>
      </c>
      <c r="T53" s="41">
        <f t="shared" si="8"/>
        <v>0.0104097127222983</v>
      </c>
      <c r="U53" s="39"/>
      <c r="V53" s="39"/>
      <c r="W53" s="42">
        <v>93</v>
      </c>
      <c r="X53" s="42">
        <f t="shared" si="9"/>
        <v>-186</v>
      </c>
      <c r="Y53" s="42">
        <f t="shared" si="10"/>
        <v>-518</v>
      </c>
    </row>
    <row r="54" spans="1:25">
      <c r="A54" s="11">
        <v>52</v>
      </c>
      <c r="B54" s="11">
        <v>587</v>
      </c>
      <c r="C54" s="11" t="s">
        <v>32</v>
      </c>
      <c r="D54" s="11"/>
      <c r="E54" s="12" t="s">
        <v>84</v>
      </c>
      <c r="F54" s="13">
        <v>80.2</v>
      </c>
      <c r="G54" s="13">
        <f>VLOOKUP(B:B,[2]原表!$D$1:$J$65536,7,0)</f>
        <v>2178</v>
      </c>
      <c r="H54" s="14">
        <v>0.8433</v>
      </c>
      <c r="I54" s="13">
        <f>G54*0.04</f>
        <v>87.12</v>
      </c>
      <c r="J54" s="13">
        <f t="shared" si="11"/>
        <v>87</v>
      </c>
      <c r="K54" s="13">
        <f>VLOOKUP(B:B,[3]Sheet2!$I$1:$J$65536,2,0)</f>
        <v>87</v>
      </c>
      <c r="L54" s="13">
        <f t="shared" si="6"/>
        <v>0</v>
      </c>
      <c r="M54" s="13"/>
      <c r="N54" s="28">
        <v>0.845471</v>
      </c>
      <c r="O54" s="24">
        <v>0.8433</v>
      </c>
      <c r="P54" s="28">
        <f>O54*1.01</f>
        <v>0.851733</v>
      </c>
      <c r="Q54" s="39">
        <v>156000</v>
      </c>
      <c r="R54" s="40">
        <f t="shared" si="7"/>
        <v>132870.348</v>
      </c>
      <c r="S54" s="40" t="str">
        <f>VLOOKUP(B:B,[4]查询门店会员消费占比!$B$1:$K$65536,10,0)</f>
        <v>83.48%</v>
      </c>
      <c r="T54" s="41">
        <f t="shared" si="8"/>
        <v>-0.0202839003354098</v>
      </c>
      <c r="U54" s="39"/>
      <c r="V54" s="39"/>
      <c r="W54" s="42">
        <v>4</v>
      </c>
      <c r="X54" s="42">
        <f t="shared" si="9"/>
        <v>-8</v>
      </c>
      <c r="Y54" s="42">
        <f t="shared" si="10"/>
        <v>-8</v>
      </c>
    </row>
    <row r="55" spans="1:25">
      <c r="A55" s="11">
        <v>53</v>
      </c>
      <c r="B55" s="11">
        <v>706</v>
      </c>
      <c r="C55" s="11" t="s">
        <v>32</v>
      </c>
      <c r="D55" s="11"/>
      <c r="E55" s="12" t="s">
        <v>85</v>
      </c>
      <c r="F55" s="13">
        <v>85.86</v>
      </c>
      <c r="G55" s="13">
        <f>VLOOKUP(B:B,[2]原表!$D$1:$J$65536,7,0)</f>
        <v>559</v>
      </c>
      <c r="H55" s="14">
        <v>0.8045</v>
      </c>
      <c r="I55" s="13">
        <f>G55*0.04</f>
        <v>22.36</v>
      </c>
      <c r="J55" s="13">
        <f t="shared" si="11"/>
        <v>22</v>
      </c>
      <c r="K55" s="13">
        <f>VLOOKUP(B:B,[3]Sheet2!$I$1:$J$65536,2,0)</f>
        <v>111</v>
      </c>
      <c r="L55" s="13">
        <f t="shared" si="6"/>
        <v>89</v>
      </c>
      <c r="M55" s="13"/>
      <c r="N55" s="28">
        <v>0.80598</v>
      </c>
      <c r="O55" s="24">
        <v>0.8045</v>
      </c>
      <c r="P55" s="28">
        <f>O55*1.01</f>
        <v>0.812545</v>
      </c>
      <c r="Q55" s="39">
        <v>95400</v>
      </c>
      <c r="R55" s="40">
        <f t="shared" si="7"/>
        <v>77516.793</v>
      </c>
      <c r="S55" s="40" t="str">
        <f>VLOOKUP(B:B,[4]查询门店会员消费占比!$B$1:$K$65536,10,0)</f>
        <v>77.6%</v>
      </c>
      <c r="T55" s="41">
        <f t="shared" si="8"/>
        <v>-0.0470940721649485</v>
      </c>
      <c r="U55" s="39"/>
      <c r="V55" s="39"/>
      <c r="W55" s="42">
        <v>0</v>
      </c>
      <c r="X55" s="42">
        <f t="shared" si="9"/>
        <v>0</v>
      </c>
      <c r="Y55" s="42">
        <f t="shared" si="10"/>
        <v>0</v>
      </c>
    </row>
    <row r="56" spans="1:25">
      <c r="A56" s="11">
        <v>54</v>
      </c>
      <c r="B56" s="11">
        <v>308</v>
      </c>
      <c r="C56" s="11" t="s">
        <v>37</v>
      </c>
      <c r="D56" s="11"/>
      <c r="E56" s="12" t="s">
        <v>86</v>
      </c>
      <c r="F56" s="13">
        <v>227.52</v>
      </c>
      <c r="G56" s="13">
        <f>VLOOKUP(B:B,[2]原表!$D$1:$J$65536,7,0)</f>
        <v>3285</v>
      </c>
      <c r="H56" s="14">
        <v>0.6403</v>
      </c>
      <c r="I56" s="13">
        <f>G56*0.08</f>
        <v>262.8</v>
      </c>
      <c r="J56" s="13">
        <f t="shared" si="11"/>
        <v>263</v>
      </c>
      <c r="K56" s="13">
        <f>VLOOKUP(B:B,[3]Sheet2!$I$1:$J$65536,2,0)</f>
        <v>204</v>
      </c>
      <c r="L56" s="13">
        <f t="shared" si="6"/>
        <v>-59</v>
      </c>
      <c r="M56" s="13">
        <f>L56*2</f>
        <v>-118</v>
      </c>
      <c r="N56" s="23">
        <v>0.641784</v>
      </c>
      <c r="O56" s="24">
        <v>0.6403</v>
      </c>
      <c r="P56" s="30">
        <f>O56*1.025</f>
        <v>0.6563075</v>
      </c>
      <c r="Q56" s="39">
        <v>234000</v>
      </c>
      <c r="R56" s="40">
        <f t="shared" si="7"/>
        <v>153575.955</v>
      </c>
      <c r="S56" s="40" t="str">
        <f>VLOOKUP(B:B,[4]查询门店会员消费占比!$B$1:$K$65536,10,0)</f>
        <v>61.04%</v>
      </c>
      <c r="T56" s="41">
        <f t="shared" si="8"/>
        <v>-0.075208879423329</v>
      </c>
      <c r="U56" s="39"/>
      <c r="V56" s="39"/>
      <c r="W56" s="42">
        <v>18</v>
      </c>
      <c r="X56" s="42">
        <f t="shared" si="9"/>
        <v>-36</v>
      </c>
      <c r="Y56" s="42">
        <f t="shared" si="10"/>
        <v>-154</v>
      </c>
    </row>
    <row r="57" spans="1:25">
      <c r="A57" s="11">
        <v>55</v>
      </c>
      <c r="B57" s="11">
        <v>539</v>
      </c>
      <c r="C57" s="11" t="s">
        <v>45</v>
      </c>
      <c r="D57" s="11"/>
      <c r="E57" s="12" t="s">
        <v>87</v>
      </c>
      <c r="F57" s="13">
        <v>66.48</v>
      </c>
      <c r="G57" s="13">
        <f>VLOOKUP(B:B,[2]原表!$D$1:$J$65536,7,0)</f>
        <v>1952</v>
      </c>
      <c r="H57" s="14">
        <v>0.8484</v>
      </c>
      <c r="I57" s="13">
        <f>G57*0.04</f>
        <v>78.08</v>
      </c>
      <c r="J57" s="13">
        <f t="shared" si="11"/>
        <v>78</v>
      </c>
      <c r="K57" s="13">
        <f>VLOOKUP(B:B,[3]Sheet2!$I$1:$J$65536,2,0)</f>
        <v>33</v>
      </c>
      <c r="L57" s="13">
        <f t="shared" si="6"/>
        <v>-45</v>
      </c>
      <c r="M57" s="13">
        <f>L57*2</f>
        <v>-90</v>
      </c>
      <c r="N57" s="28">
        <v>0.864459</v>
      </c>
      <c r="O57" s="24">
        <v>0.8484</v>
      </c>
      <c r="P57" s="28">
        <f>O57*1.01</f>
        <v>0.856884</v>
      </c>
      <c r="Q57" s="39">
        <v>124786</v>
      </c>
      <c r="R57" s="40">
        <f t="shared" si="7"/>
        <v>106927.126824</v>
      </c>
      <c r="S57" s="40" t="str">
        <f>VLOOKUP(B:B,[4]查询门店会员消费占比!$B$1:$K$65536,10,0)</f>
        <v>68.17%</v>
      </c>
      <c r="T57" s="41">
        <f t="shared" si="8"/>
        <v>-0.256981076719965</v>
      </c>
      <c r="U57" s="39"/>
      <c r="V57" s="39"/>
      <c r="W57" s="42">
        <v>0</v>
      </c>
      <c r="X57" s="42">
        <f t="shared" si="9"/>
        <v>0</v>
      </c>
      <c r="Y57" s="42">
        <f t="shared" si="10"/>
        <v>-90</v>
      </c>
    </row>
    <row r="58" spans="1:25">
      <c r="A58" s="11">
        <v>56</v>
      </c>
      <c r="B58" s="11">
        <v>594</v>
      </c>
      <c r="C58" s="11" t="s">
        <v>45</v>
      </c>
      <c r="D58" s="11"/>
      <c r="E58" s="12" t="s">
        <v>88</v>
      </c>
      <c r="F58" s="13">
        <v>60.36</v>
      </c>
      <c r="G58" s="13">
        <f>VLOOKUP(B:B,[2]原表!$D$1:$J$65536,7,0)</f>
        <v>1850</v>
      </c>
      <c r="H58" s="14">
        <v>0.8443</v>
      </c>
      <c r="I58" s="13">
        <f>G58*0.04</f>
        <v>74</v>
      </c>
      <c r="J58" s="13">
        <f t="shared" si="11"/>
        <v>74</v>
      </c>
      <c r="K58" s="13">
        <f>VLOOKUP(B:B,[3]Sheet2!$I$1:$J$65536,2,0)</f>
        <v>113</v>
      </c>
      <c r="L58" s="13">
        <f t="shared" si="6"/>
        <v>39</v>
      </c>
      <c r="M58" s="13"/>
      <c r="N58" s="28">
        <v>0.810626</v>
      </c>
      <c r="O58" s="24">
        <v>0.8443</v>
      </c>
      <c r="P58" s="28">
        <f>O58*1.01</f>
        <v>0.852743</v>
      </c>
      <c r="Q58" s="39">
        <v>108120</v>
      </c>
      <c r="R58" s="40">
        <f t="shared" si="7"/>
        <v>92198.57316</v>
      </c>
      <c r="S58" s="40" t="str">
        <f>VLOOKUP(B:B,[4]查询门店会员消费占比!$B$1:$K$65536,10,0)</f>
        <v>81.47%</v>
      </c>
      <c r="T58" s="41">
        <f t="shared" si="8"/>
        <v>-0.0466957162145576</v>
      </c>
      <c r="U58" s="39"/>
      <c r="V58" s="39"/>
      <c r="W58" s="42">
        <v>0</v>
      </c>
      <c r="X58" s="42">
        <f t="shared" si="9"/>
        <v>0</v>
      </c>
      <c r="Y58" s="42">
        <f t="shared" si="10"/>
        <v>0</v>
      </c>
    </row>
    <row r="59" spans="1:25">
      <c r="A59" s="11">
        <v>57</v>
      </c>
      <c r="B59" s="11">
        <v>329</v>
      </c>
      <c r="C59" s="11" t="s">
        <v>32</v>
      </c>
      <c r="D59" s="11"/>
      <c r="E59" s="12" t="s">
        <v>89</v>
      </c>
      <c r="F59" s="13">
        <v>75.4</v>
      </c>
      <c r="G59" s="13">
        <f>VLOOKUP(B:B,[2]原表!$D$1:$J$65536,7,0)</f>
        <v>2117</v>
      </c>
      <c r="H59" s="14">
        <v>0.8675</v>
      </c>
      <c r="I59" s="13">
        <f>G59*0.04</f>
        <v>84.68</v>
      </c>
      <c r="J59" s="13">
        <f t="shared" si="11"/>
        <v>85</v>
      </c>
      <c r="K59" s="13">
        <f>VLOOKUP(B:B,[3]Sheet2!$I$1:$J$65536,2,0)</f>
        <v>125</v>
      </c>
      <c r="L59" s="13">
        <f t="shared" si="6"/>
        <v>40</v>
      </c>
      <c r="M59" s="13"/>
      <c r="N59" s="28">
        <v>0.879609</v>
      </c>
      <c r="O59" s="24">
        <v>0.8675</v>
      </c>
      <c r="P59" s="28">
        <f>O59*1.01</f>
        <v>0.876175</v>
      </c>
      <c r="Q59" s="39">
        <v>205920</v>
      </c>
      <c r="R59" s="40">
        <f t="shared" si="7"/>
        <v>180421.956</v>
      </c>
      <c r="S59" s="40" t="str">
        <f>VLOOKUP(B:B,[4]查询门店会员消费占比!$B$1:$K$65536,10,0)</f>
        <v>84.12%</v>
      </c>
      <c r="T59" s="41">
        <f t="shared" si="8"/>
        <v>-0.0415775083214455</v>
      </c>
      <c r="U59" s="39"/>
      <c r="V59" s="39"/>
      <c r="W59" s="42">
        <v>22</v>
      </c>
      <c r="X59" s="42">
        <f t="shared" si="9"/>
        <v>-44</v>
      </c>
      <c r="Y59" s="42">
        <f t="shared" si="10"/>
        <v>-44</v>
      </c>
    </row>
    <row r="60" spans="1:25">
      <c r="A60" s="11">
        <v>58</v>
      </c>
      <c r="B60" s="11">
        <v>745</v>
      </c>
      <c r="C60" s="11" t="s">
        <v>27</v>
      </c>
      <c r="D60" s="11"/>
      <c r="E60" s="12" t="s">
        <v>90</v>
      </c>
      <c r="F60" s="13">
        <v>135.6</v>
      </c>
      <c r="G60" s="13">
        <f>VLOOKUP(B:B,[2]原表!$D$1:$J$65536,7,0)</f>
        <v>2612</v>
      </c>
      <c r="H60" s="14">
        <v>0.7444</v>
      </c>
      <c r="I60" s="13">
        <f>G60*0.06</f>
        <v>156.72</v>
      </c>
      <c r="J60" s="13">
        <f t="shared" si="11"/>
        <v>157</v>
      </c>
      <c r="K60" s="13">
        <f>VLOOKUP(B:B,[3]Sheet2!$I$1:$J$65536,2,0)</f>
        <v>151</v>
      </c>
      <c r="L60" s="13">
        <f t="shared" si="6"/>
        <v>-6</v>
      </c>
      <c r="M60" s="13">
        <f>L60*2</f>
        <v>-12</v>
      </c>
      <c r="N60" s="23">
        <v>0.762756</v>
      </c>
      <c r="O60" s="24">
        <v>0.7444</v>
      </c>
      <c r="P60" s="25">
        <f>O60*1.015</f>
        <v>0.755566</v>
      </c>
      <c r="Q60" s="39">
        <v>159120</v>
      </c>
      <c r="R60" s="40">
        <f t="shared" si="7"/>
        <v>120225.66192</v>
      </c>
      <c r="S60" s="40" t="str">
        <f>VLOOKUP(B:B,[4]查询门店会员消费占比!$B$1:$K$65536,10,0)</f>
        <v>64.69%</v>
      </c>
      <c r="T60" s="41">
        <f t="shared" si="8"/>
        <v>-0.167979594991498</v>
      </c>
      <c r="U60" s="39"/>
      <c r="V60" s="39"/>
      <c r="W60" s="42">
        <v>7</v>
      </c>
      <c r="X60" s="42">
        <f t="shared" si="9"/>
        <v>-14</v>
      </c>
      <c r="Y60" s="42">
        <f t="shared" si="10"/>
        <v>-26</v>
      </c>
    </row>
    <row r="61" spans="1:25">
      <c r="A61" s="11">
        <v>59</v>
      </c>
      <c r="B61" s="11">
        <v>740</v>
      </c>
      <c r="C61" s="11" t="s">
        <v>30</v>
      </c>
      <c r="D61" s="11"/>
      <c r="E61" s="12" t="s">
        <v>91</v>
      </c>
      <c r="F61" s="13">
        <v>107.88</v>
      </c>
      <c r="G61" s="13">
        <f>VLOOKUP(B:B,[2]原表!$D$1:$J$65536,7,0)</f>
        <v>2077</v>
      </c>
      <c r="H61" s="14">
        <v>0.7783</v>
      </c>
      <c r="I61" s="13">
        <f>G61*0.06</f>
        <v>124.62</v>
      </c>
      <c r="J61" s="13">
        <f t="shared" si="11"/>
        <v>125</v>
      </c>
      <c r="K61" s="13">
        <f>VLOOKUP(B:B,[3]Sheet2!$I$1:$J$65536,2,0)</f>
        <v>151</v>
      </c>
      <c r="L61" s="13">
        <f t="shared" si="6"/>
        <v>26</v>
      </c>
      <c r="M61" s="13"/>
      <c r="N61" s="28">
        <v>0.802041</v>
      </c>
      <c r="O61" s="24">
        <v>0.7783</v>
      </c>
      <c r="P61" s="25">
        <f>O61*1.015</f>
        <v>0.7899745</v>
      </c>
      <c r="Q61" s="39">
        <v>111300</v>
      </c>
      <c r="R61" s="40">
        <f t="shared" si="7"/>
        <v>87924.16185</v>
      </c>
      <c r="S61" s="40" t="str">
        <f>VLOOKUP(B:B,[4]查询门店会员消费占比!$B$1:$K$65536,10,0)</f>
        <v>78.94%</v>
      </c>
      <c r="T61" s="41">
        <f t="shared" si="8"/>
        <v>-0.000727767925006235</v>
      </c>
      <c r="U61" s="39"/>
      <c r="V61" s="39"/>
      <c r="W61" s="42">
        <v>15</v>
      </c>
      <c r="X61" s="42">
        <f t="shared" si="9"/>
        <v>-30</v>
      </c>
      <c r="Y61" s="42">
        <f t="shared" si="10"/>
        <v>-30</v>
      </c>
    </row>
    <row r="62" spans="1:25">
      <c r="A62" s="11">
        <v>60</v>
      </c>
      <c r="B62" s="11">
        <v>367</v>
      </c>
      <c r="C62" s="11" t="s">
        <v>32</v>
      </c>
      <c r="D62" s="11"/>
      <c r="E62" s="12" t="s">
        <v>92</v>
      </c>
      <c r="F62" s="13">
        <v>100.76</v>
      </c>
      <c r="G62" s="13">
        <f>VLOOKUP(B:B,[2]原表!$D$1:$J$65536,7,0)</f>
        <v>2951</v>
      </c>
      <c r="H62" s="14">
        <v>0.8119</v>
      </c>
      <c r="I62" s="13">
        <f>G62*0.04</f>
        <v>118.04</v>
      </c>
      <c r="J62" s="13">
        <f t="shared" si="11"/>
        <v>118</v>
      </c>
      <c r="K62" s="13">
        <f>VLOOKUP(B:B,[3]Sheet2!$I$1:$J$65536,2,0)</f>
        <v>139</v>
      </c>
      <c r="L62" s="13">
        <f t="shared" si="6"/>
        <v>21</v>
      </c>
      <c r="M62" s="13"/>
      <c r="N62" s="28">
        <v>0.824059</v>
      </c>
      <c r="O62" s="24">
        <v>0.8119</v>
      </c>
      <c r="P62" s="28">
        <f>O62*1.01</f>
        <v>0.820019</v>
      </c>
      <c r="Q62" s="39">
        <v>187200</v>
      </c>
      <c r="R62" s="40">
        <f t="shared" si="7"/>
        <v>153507.5568</v>
      </c>
      <c r="S62" s="40" t="str">
        <f>VLOOKUP(B:B,[4]查询门店会员消费占比!$B$1:$K$65536,10,0)</f>
        <v>76.54%</v>
      </c>
      <c r="T62" s="41">
        <f t="shared" si="8"/>
        <v>-0.0713600731643583</v>
      </c>
      <c r="U62" s="39"/>
      <c r="V62" s="39"/>
      <c r="W62" s="42">
        <v>4</v>
      </c>
      <c r="X62" s="42">
        <f t="shared" si="9"/>
        <v>-8</v>
      </c>
      <c r="Y62" s="42">
        <f t="shared" si="10"/>
        <v>-8</v>
      </c>
    </row>
    <row r="63" spans="1:25">
      <c r="A63" s="11">
        <v>61</v>
      </c>
      <c r="B63" s="11">
        <v>591</v>
      </c>
      <c r="C63" s="11" t="s">
        <v>45</v>
      </c>
      <c r="D63" s="11"/>
      <c r="E63" s="12" t="s">
        <v>93</v>
      </c>
      <c r="F63" s="13">
        <v>119.52</v>
      </c>
      <c r="G63" s="13">
        <f>VLOOKUP(B:B,[2]原表!$D$1:$J$65536,7,0)</f>
        <v>2127</v>
      </c>
      <c r="H63" s="14">
        <v>0.778</v>
      </c>
      <c r="I63" s="13">
        <f>G63*0.06</f>
        <v>127.62</v>
      </c>
      <c r="J63" s="13">
        <f t="shared" si="11"/>
        <v>128</v>
      </c>
      <c r="K63" s="13">
        <f>VLOOKUP(B:B,[3]Sheet2!$I$1:$J$65536,2,0)</f>
        <v>156</v>
      </c>
      <c r="L63" s="13">
        <f t="shared" si="6"/>
        <v>28</v>
      </c>
      <c r="M63" s="13"/>
      <c r="N63" s="28">
        <v>0.764974</v>
      </c>
      <c r="O63" s="24">
        <v>0.778</v>
      </c>
      <c r="P63" s="25">
        <f>O63*1.015</f>
        <v>0.78967</v>
      </c>
      <c r="Q63" s="39">
        <v>136344</v>
      </c>
      <c r="R63" s="40">
        <f t="shared" si="7"/>
        <v>107666.76648</v>
      </c>
      <c r="S63" s="40" t="str">
        <f>VLOOKUP(B:B,[4]查询门店会员消费占比!$B$1:$K$65536,10,0)</f>
        <v>76.06%</v>
      </c>
      <c r="T63" s="41">
        <f t="shared" si="8"/>
        <v>-0.0382198264528003</v>
      </c>
      <c r="U63" s="39"/>
      <c r="V63" s="39"/>
      <c r="W63" s="42">
        <v>8</v>
      </c>
      <c r="X63" s="42">
        <f t="shared" si="9"/>
        <v>-16</v>
      </c>
      <c r="Y63" s="42">
        <f t="shared" si="10"/>
        <v>-16</v>
      </c>
    </row>
    <row r="64" spans="1:25">
      <c r="A64" s="11">
        <v>62</v>
      </c>
      <c r="B64" s="11">
        <v>753</v>
      </c>
      <c r="C64" s="11" t="s">
        <v>30</v>
      </c>
      <c r="D64" s="11"/>
      <c r="E64" s="12" t="s">
        <v>94</v>
      </c>
      <c r="F64" s="13">
        <v>47.12</v>
      </c>
      <c r="G64" s="13">
        <f>VLOOKUP(B:B,[2]原表!$D$1:$J$65536,7,0)</f>
        <v>1551</v>
      </c>
      <c r="H64" s="14">
        <v>0.882</v>
      </c>
      <c r="I64" s="13">
        <f>G64*0.04</f>
        <v>62.04</v>
      </c>
      <c r="J64" s="13">
        <f t="shared" si="11"/>
        <v>62</v>
      </c>
      <c r="K64" s="13">
        <f>VLOOKUP(B:B,[3]Sheet2!$I$1:$J$65536,2,0)</f>
        <v>133</v>
      </c>
      <c r="L64" s="13">
        <f t="shared" si="6"/>
        <v>71</v>
      </c>
      <c r="M64" s="13"/>
      <c r="N64" s="28">
        <v>0.894961</v>
      </c>
      <c r="O64" s="24">
        <v>0.882</v>
      </c>
      <c r="P64" s="28">
        <f>O64*1.01</f>
        <v>0.89082</v>
      </c>
      <c r="Q64" s="39">
        <v>89040</v>
      </c>
      <c r="R64" s="40">
        <f t="shared" si="7"/>
        <v>79318.6128</v>
      </c>
      <c r="S64" s="40" t="str">
        <f>VLOOKUP(B:B,[4]查询门店会员消费占比!$B$1:$K$65536,10,0)</f>
        <v>79.26%</v>
      </c>
      <c r="T64" s="41">
        <f t="shared" si="8"/>
        <v>-0.123921271763815</v>
      </c>
      <c r="U64" s="39"/>
      <c r="V64" s="39"/>
      <c r="W64" s="42">
        <v>7</v>
      </c>
      <c r="X64" s="42">
        <f t="shared" si="9"/>
        <v>-14</v>
      </c>
      <c r="Y64" s="42">
        <f t="shared" si="10"/>
        <v>-14</v>
      </c>
    </row>
    <row r="65" spans="1:25">
      <c r="A65" s="11">
        <v>63</v>
      </c>
      <c r="B65" s="11">
        <v>713</v>
      </c>
      <c r="C65" s="11" t="s">
        <v>32</v>
      </c>
      <c r="D65" s="11"/>
      <c r="E65" s="12" t="s">
        <v>95</v>
      </c>
      <c r="F65" s="13">
        <v>38.12</v>
      </c>
      <c r="G65" s="13">
        <f>VLOOKUP(B:B,[2]原表!$D$1:$J$65536,7,0)</f>
        <v>1120</v>
      </c>
      <c r="H65" s="14">
        <v>0.8076</v>
      </c>
      <c r="I65" s="13">
        <f>G65*0.04</f>
        <v>44.8</v>
      </c>
      <c r="J65" s="13">
        <f t="shared" si="11"/>
        <v>45</v>
      </c>
      <c r="K65" s="13">
        <f>VLOOKUP(B:B,[3]Sheet2!$I$1:$J$65536,2,0)</f>
        <v>57</v>
      </c>
      <c r="L65" s="13">
        <f t="shared" si="6"/>
        <v>12</v>
      </c>
      <c r="M65" s="13"/>
      <c r="N65" s="28">
        <v>0.848097</v>
      </c>
      <c r="O65" s="24">
        <v>0.8076</v>
      </c>
      <c r="P65" s="28">
        <f>O65*1.01</f>
        <v>0.815676</v>
      </c>
      <c r="Q65" s="39">
        <v>95400</v>
      </c>
      <c r="R65" s="40">
        <f t="shared" si="7"/>
        <v>77815.4904</v>
      </c>
      <c r="S65" s="40" t="str">
        <f>VLOOKUP(B:B,[4]查询门店会员消费占比!$B$1:$K$65536,10,0)</f>
        <v>78.65%</v>
      </c>
      <c r="T65" s="41">
        <f t="shared" si="8"/>
        <v>-0.0370959949141766</v>
      </c>
      <c r="U65" s="39"/>
      <c r="V65" s="39"/>
      <c r="W65" s="42">
        <v>2</v>
      </c>
      <c r="X65" s="42">
        <f t="shared" si="9"/>
        <v>-4</v>
      </c>
      <c r="Y65" s="42">
        <f t="shared" si="10"/>
        <v>-4</v>
      </c>
    </row>
    <row r="66" spans="1:25">
      <c r="A66" s="11">
        <v>64</v>
      </c>
      <c r="B66" s="11">
        <v>752</v>
      </c>
      <c r="C66" s="11" t="s">
        <v>27</v>
      </c>
      <c r="D66" s="11"/>
      <c r="E66" s="12" t="s">
        <v>96</v>
      </c>
      <c r="F66" s="13">
        <v>98.88</v>
      </c>
      <c r="G66" s="13">
        <f>VLOOKUP(B:B,[2]原表!$D$1:$J$65536,7,0)</f>
        <v>2112</v>
      </c>
      <c r="H66" s="14">
        <v>0.7618</v>
      </c>
      <c r="I66" s="13">
        <f>G66*0.06</f>
        <v>126.72</v>
      </c>
      <c r="J66" s="13">
        <f t="shared" si="11"/>
        <v>127</v>
      </c>
      <c r="K66" s="13">
        <f>VLOOKUP(B:B,[3]Sheet2!$I$1:$J$65536,2,0)</f>
        <v>84</v>
      </c>
      <c r="L66" s="13">
        <f t="shared" si="6"/>
        <v>-43</v>
      </c>
      <c r="M66" s="13">
        <f>L66*2</f>
        <v>-86</v>
      </c>
      <c r="N66" s="23">
        <v>0.715836</v>
      </c>
      <c r="O66" s="24">
        <v>0.7618</v>
      </c>
      <c r="P66" s="25">
        <f>O66*1.015</f>
        <v>0.773227</v>
      </c>
      <c r="Q66" s="39">
        <v>104160</v>
      </c>
      <c r="R66" s="40">
        <f t="shared" si="7"/>
        <v>80539.32432</v>
      </c>
      <c r="S66" s="40" t="str">
        <f>VLOOKUP(B:B,[4]查询门店会员消费占比!$B$1:$K$65536,10,0)</f>
        <v>73.33%</v>
      </c>
      <c r="T66" s="41">
        <f t="shared" si="8"/>
        <v>-0.0544483840174554</v>
      </c>
      <c r="U66" s="39"/>
      <c r="V66" s="39"/>
      <c r="W66" s="42">
        <v>2</v>
      </c>
      <c r="X66" s="42">
        <f t="shared" si="9"/>
        <v>-4</v>
      </c>
      <c r="Y66" s="42">
        <f t="shared" si="10"/>
        <v>-90</v>
      </c>
    </row>
    <row r="67" spans="1:25">
      <c r="A67" s="11">
        <v>65</v>
      </c>
      <c r="B67" s="11">
        <v>707</v>
      </c>
      <c r="C67" s="11" t="s">
        <v>30</v>
      </c>
      <c r="D67" s="11"/>
      <c r="E67" s="12" t="s">
        <v>97</v>
      </c>
      <c r="F67" s="13">
        <v>270.72</v>
      </c>
      <c r="G67" s="13">
        <f>VLOOKUP(B:B,[2]原表!$D$1:$J$65536,7,0)</f>
        <v>4805</v>
      </c>
      <c r="H67" s="14">
        <v>0.7931</v>
      </c>
      <c r="I67" s="13">
        <f>G67*0.06</f>
        <v>288.3</v>
      </c>
      <c r="J67" s="15">
        <v>210</v>
      </c>
      <c r="K67" s="13">
        <f>VLOOKUP(B:B,[3]Sheet2!$I$1:$J$65536,2,0)</f>
        <v>125</v>
      </c>
      <c r="L67" s="13">
        <f t="shared" si="6"/>
        <v>-85</v>
      </c>
      <c r="M67" s="13">
        <f>L67*2</f>
        <v>-170</v>
      </c>
      <c r="N67" s="28">
        <v>0.774872</v>
      </c>
      <c r="O67" s="24">
        <v>0.7931</v>
      </c>
      <c r="P67" s="25">
        <f>O67*1.015</f>
        <v>0.8049965</v>
      </c>
      <c r="Q67" s="39">
        <v>312000</v>
      </c>
      <c r="R67" s="40">
        <f t="shared" si="7"/>
        <v>251158.908</v>
      </c>
      <c r="S67" s="40" t="str">
        <f>VLOOKUP(B:B,[4]查询门店会员消费占比!$B$1:$K$65536,10,0)</f>
        <v>79.85%</v>
      </c>
      <c r="T67" s="41">
        <f t="shared" si="8"/>
        <v>-0.00813587977457735</v>
      </c>
      <c r="U67" s="39"/>
      <c r="V67" s="39"/>
      <c r="W67" s="42">
        <v>32</v>
      </c>
      <c r="X67" s="42">
        <f t="shared" si="9"/>
        <v>-64</v>
      </c>
      <c r="Y67" s="42">
        <f t="shared" si="10"/>
        <v>-234</v>
      </c>
    </row>
    <row r="68" spans="1:25">
      <c r="A68" s="11">
        <v>66</v>
      </c>
      <c r="B68" s="11">
        <v>716</v>
      </c>
      <c r="C68" s="11" t="s">
        <v>45</v>
      </c>
      <c r="D68" s="11"/>
      <c r="E68" s="12" t="s">
        <v>98</v>
      </c>
      <c r="F68" s="13">
        <v>84.04</v>
      </c>
      <c r="G68" s="13">
        <f>VLOOKUP(B:B,[2]原表!$D$1:$J$65536,7,0)</f>
        <v>2377</v>
      </c>
      <c r="H68" s="14">
        <v>0.8632</v>
      </c>
      <c r="I68" s="13">
        <f>G68*0.04</f>
        <v>95.08</v>
      </c>
      <c r="J68" s="13">
        <f t="shared" ref="J68:J99" si="12">ROUND(I68,0)</f>
        <v>95</v>
      </c>
      <c r="K68" s="13">
        <f>VLOOKUP(B:B,[3]Sheet2!$I$1:$J$65536,2,0)</f>
        <v>83</v>
      </c>
      <c r="L68" s="13">
        <f t="shared" ref="L68:L102" si="13">K68-J68</f>
        <v>-12</v>
      </c>
      <c r="M68" s="13">
        <f>L68*2</f>
        <v>-24</v>
      </c>
      <c r="N68" s="28">
        <v>0.813454</v>
      </c>
      <c r="O68" s="24">
        <v>0.8632</v>
      </c>
      <c r="P68" s="28">
        <f>O68*1.01</f>
        <v>0.871832</v>
      </c>
      <c r="Q68" s="39">
        <v>77162</v>
      </c>
      <c r="R68" s="40">
        <f t="shared" ref="R68:R102" si="14">P68*Q68</f>
        <v>67272.300784</v>
      </c>
      <c r="S68" s="40" t="str">
        <f>VLOOKUP(B:B,[4]查询门店会员消费占比!$B$1:$K$65536,10,0)</f>
        <v>82.41%</v>
      </c>
      <c r="T68" s="41">
        <f t="shared" ref="T68:T102" si="15">(S68-P68)/S68</f>
        <v>-0.0579201553209562</v>
      </c>
      <c r="U68" s="39"/>
      <c r="V68" s="39"/>
      <c r="W68" s="42">
        <v>2</v>
      </c>
      <c r="X68" s="42">
        <f t="shared" ref="X68:X99" si="16">W68*-2</f>
        <v>-4</v>
      </c>
      <c r="Y68" s="42">
        <f t="shared" ref="Y68:Y99" si="17">X68+M68</f>
        <v>-28</v>
      </c>
    </row>
    <row r="69" spans="1:25">
      <c r="A69" s="11">
        <v>67</v>
      </c>
      <c r="B69" s="11">
        <v>733</v>
      </c>
      <c r="C69" s="11" t="s">
        <v>30</v>
      </c>
      <c r="D69" s="11"/>
      <c r="E69" s="12" t="s">
        <v>99</v>
      </c>
      <c r="F69" s="13">
        <v>119.04</v>
      </c>
      <c r="G69" s="13">
        <f>VLOOKUP(B:B,[2]原表!$D$1:$J$65536,7,0)</f>
        <v>2111</v>
      </c>
      <c r="H69" s="14">
        <v>0.748</v>
      </c>
      <c r="I69" s="13">
        <f>G69*0.06</f>
        <v>126.66</v>
      </c>
      <c r="J69" s="13">
        <f t="shared" si="12"/>
        <v>127</v>
      </c>
      <c r="K69" s="13">
        <f>VLOOKUP(B:B,[3]Sheet2!$I$1:$J$65536,2,0)</f>
        <v>98</v>
      </c>
      <c r="L69" s="13">
        <f t="shared" si="13"/>
        <v>-29</v>
      </c>
      <c r="M69" s="13">
        <f>L69*2</f>
        <v>-58</v>
      </c>
      <c r="N69" s="23">
        <v>0.742968</v>
      </c>
      <c r="O69" s="24">
        <v>0.748</v>
      </c>
      <c r="P69" s="25">
        <f>O69*1.015</f>
        <v>0.75922</v>
      </c>
      <c r="Q69" s="39">
        <v>114240</v>
      </c>
      <c r="R69" s="40">
        <f t="shared" si="14"/>
        <v>86733.2928</v>
      </c>
      <c r="S69" s="40" t="str">
        <f>VLOOKUP(B:B,[4]查询门店会员消费占比!$B$1:$K$65536,10,0)</f>
        <v>62.63%</v>
      </c>
      <c r="T69" s="41">
        <f t="shared" si="15"/>
        <v>-0.212230560434296</v>
      </c>
      <c r="U69" s="39"/>
      <c r="V69" s="39"/>
      <c r="W69" s="42">
        <v>12</v>
      </c>
      <c r="X69" s="42">
        <f t="shared" si="16"/>
        <v>-24</v>
      </c>
      <c r="Y69" s="42">
        <f t="shared" si="17"/>
        <v>-82</v>
      </c>
    </row>
    <row r="70" spans="1:25">
      <c r="A70" s="11">
        <v>68</v>
      </c>
      <c r="B70" s="11">
        <v>737</v>
      </c>
      <c r="C70" s="11" t="s">
        <v>30</v>
      </c>
      <c r="D70" s="11"/>
      <c r="E70" s="12" t="s">
        <v>100</v>
      </c>
      <c r="F70" s="13">
        <v>233.36</v>
      </c>
      <c r="G70" s="13">
        <f>VLOOKUP(B:B,[2]原表!$D$1:$J$65536,7,0)</f>
        <v>3485</v>
      </c>
      <c r="H70" s="14">
        <v>0.6699</v>
      </c>
      <c r="I70" s="13">
        <f>G70*0.08</f>
        <v>278.8</v>
      </c>
      <c r="J70" s="13">
        <f t="shared" si="12"/>
        <v>279</v>
      </c>
      <c r="K70" s="13">
        <f>VLOOKUP(B:B,[3]Sheet2!$I$1:$J$65536,2,0)</f>
        <v>243</v>
      </c>
      <c r="L70" s="13">
        <f t="shared" si="13"/>
        <v>-36</v>
      </c>
      <c r="M70" s="13">
        <f>L70*2</f>
        <v>-72</v>
      </c>
      <c r="N70" s="23">
        <v>0.707166</v>
      </c>
      <c r="O70" s="24">
        <v>0.6699</v>
      </c>
      <c r="P70" s="30">
        <f>O70*1.025</f>
        <v>0.6866475</v>
      </c>
      <c r="Q70" s="39">
        <v>165360</v>
      </c>
      <c r="R70" s="40">
        <f t="shared" si="14"/>
        <v>113544.0306</v>
      </c>
      <c r="S70" s="40" t="str">
        <f>VLOOKUP(B:B,[4]查询门店会员消费占比!$B$1:$K$65536,10,0)</f>
        <v>64.66%</v>
      </c>
      <c r="T70" s="41">
        <f t="shared" si="15"/>
        <v>-0.0619355088153418</v>
      </c>
      <c r="U70" s="39"/>
      <c r="V70" s="39"/>
      <c r="W70" s="42">
        <v>47</v>
      </c>
      <c r="X70" s="42">
        <f t="shared" si="16"/>
        <v>-94</v>
      </c>
      <c r="Y70" s="42">
        <f t="shared" si="17"/>
        <v>-166</v>
      </c>
    </row>
    <row r="71" spans="1:25">
      <c r="A71" s="11">
        <v>69</v>
      </c>
      <c r="B71" s="11">
        <v>578</v>
      </c>
      <c r="C71" s="11" t="s">
        <v>37</v>
      </c>
      <c r="D71" s="11"/>
      <c r="E71" s="12" t="s">
        <v>101</v>
      </c>
      <c r="F71" s="13">
        <v>234.9</v>
      </c>
      <c r="G71" s="13">
        <f>VLOOKUP(B:B,[2]原表!$D$1:$J$65536,7,0)</f>
        <v>4355</v>
      </c>
      <c r="H71" s="14">
        <v>0.8016</v>
      </c>
      <c r="I71" s="13">
        <f>G71*0.04</f>
        <v>174.2</v>
      </c>
      <c r="J71" s="13">
        <f t="shared" si="12"/>
        <v>174</v>
      </c>
      <c r="K71" s="13">
        <f>VLOOKUP(B:B,[3]Sheet2!$I$1:$J$65536,2,0)</f>
        <v>214</v>
      </c>
      <c r="L71" s="13">
        <f t="shared" si="13"/>
        <v>40</v>
      </c>
      <c r="M71" s="13"/>
      <c r="N71" s="28">
        <v>0.787396</v>
      </c>
      <c r="O71" s="24">
        <v>0.8016</v>
      </c>
      <c r="P71" s="28">
        <f>O71*1.01</f>
        <v>0.809616</v>
      </c>
      <c r="Q71" s="39">
        <v>234000</v>
      </c>
      <c r="R71" s="40">
        <f t="shared" si="14"/>
        <v>189450.144</v>
      </c>
      <c r="S71" s="40" t="str">
        <f>VLOOKUP(B:B,[4]查询门店会员消费占比!$B$1:$K$65536,10,0)</f>
        <v>77.5%</v>
      </c>
      <c r="T71" s="41">
        <f t="shared" si="15"/>
        <v>-0.0446658064516129</v>
      </c>
      <c r="U71" s="39"/>
      <c r="V71" s="39"/>
      <c r="W71" s="42">
        <v>7</v>
      </c>
      <c r="X71" s="42">
        <f t="shared" si="16"/>
        <v>-14</v>
      </c>
      <c r="Y71" s="42">
        <f t="shared" si="17"/>
        <v>-14</v>
      </c>
    </row>
    <row r="72" spans="1:25">
      <c r="A72" s="11">
        <v>70</v>
      </c>
      <c r="B72" s="11">
        <v>585</v>
      </c>
      <c r="C72" s="11" t="s">
        <v>27</v>
      </c>
      <c r="D72" s="11"/>
      <c r="E72" s="12" t="s">
        <v>102</v>
      </c>
      <c r="F72" s="13">
        <v>235.38</v>
      </c>
      <c r="G72" s="13">
        <f>VLOOKUP(B:B,[2]原表!$D$1:$J$65536,7,0)</f>
        <v>4721</v>
      </c>
      <c r="H72" s="14">
        <v>0.8023</v>
      </c>
      <c r="I72" s="13">
        <f>G72*0.04</f>
        <v>188.84</v>
      </c>
      <c r="J72" s="13">
        <f t="shared" si="12"/>
        <v>189</v>
      </c>
      <c r="K72" s="13">
        <f>VLOOKUP(B:B,[3]Sheet2!$I$1:$J$65536,2,0)</f>
        <v>230</v>
      </c>
      <c r="L72" s="13">
        <f t="shared" si="13"/>
        <v>41</v>
      </c>
      <c r="M72" s="13"/>
      <c r="N72" s="28">
        <v>0.769317</v>
      </c>
      <c r="O72" s="24">
        <v>0.8023</v>
      </c>
      <c r="P72" s="28">
        <f>O72*1.01</f>
        <v>0.810323</v>
      </c>
      <c r="Q72" s="39">
        <v>333720</v>
      </c>
      <c r="R72" s="40">
        <f t="shared" si="14"/>
        <v>270420.99156</v>
      </c>
      <c r="S72" s="40" t="str">
        <f>VLOOKUP(B:B,[4]查询门店会员消费占比!$B$1:$K$65536,10,0)</f>
        <v>74.6%</v>
      </c>
      <c r="T72" s="41">
        <f t="shared" si="15"/>
        <v>-0.0862238605898124</v>
      </c>
      <c r="U72" s="39"/>
      <c r="V72" s="39"/>
      <c r="W72" s="42">
        <v>4</v>
      </c>
      <c r="X72" s="42">
        <f t="shared" si="16"/>
        <v>-8</v>
      </c>
      <c r="Y72" s="42">
        <f t="shared" si="17"/>
        <v>-8</v>
      </c>
    </row>
    <row r="73" spans="1:25">
      <c r="A73" s="11">
        <v>71</v>
      </c>
      <c r="B73" s="11">
        <v>727</v>
      </c>
      <c r="C73" s="11" t="s">
        <v>27</v>
      </c>
      <c r="D73" s="11"/>
      <c r="E73" s="12" t="s">
        <v>103</v>
      </c>
      <c r="F73" s="13">
        <v>119.16</v>
      </c>
      <c r="G73" s="13">
        <f>VLOOKUP(B:B,[2]原表!$D$1:$J$65536,7,0)</f>
        <v>2182</v>
      </c>
      <c r="H73" s="14">
        <v>0.7949</v>
      </c>
      <c r="I73" s="13">
        <f>G73*0.06</f>
        <v>130.92</v>
      </c>
      <c r="J73" s="13">
        <f t="shared" si="12"/>
        <v>131</v>
      </c>
      <c r="K73" s="13">
        <f>VLOOKUP(B:B,[3]Sheet2!$I$1:$J$65536,2,0)</f>
        <v>67</v>
      </c>
      <c r="L73" s="13">
        <f t="shared" si="13"/>
        <v>-64</v>
      </c>
      <c r="M73" s="13">
        <f>L73*2</f>
        <v>-128</v>
      </c>
      <c r="N73" s="28">
        <v>0.77972</v>
      </c>
      <c r="O73" s="24">
        <v>0.7949</v>
      </c>
      <c r="P73" s="25">
        <f>O73*1.015</f>
        <v>0.8068235</v>
      </c>
      <c r="Q73" s="39">
        <v>129480</v>
      </c>
      <c r="R73" s="40">
        <f t="shared" si="14"/>
        <v>104467.50678</v>
      </c>
      <c r="S73" s="40" t="str">
        <f>VLOOKUP(B:B,[4]查询门店会员消费占比!$B$1:$K$65536,10,0)</f>
        <v>74.35%</v>
      </c>
      <c r="T73" s="41">
        <f t="shared" si="15"/>
        <v>-0.0851694687289847</v>
      </c>
      <c r="U73" s="39"/>
      <c r="V73" s="39"/>
      <c r="W73" s="42">
        <v>34</v>
      </c>
      <c r="X73" s="42">
        <f t="shared" si="16"/>
        <v>-68</v>
      </c>
      <c r="Y73" s="42">
        <f t="shared" si="17"/>
        <v>-196</v>
      </c>
    </row>
    <row r="74" spans="1:25">
      <c r="A74" s="11">
        <v>72</v>
      </c>
      <c r="B74" s="11">
        <v>379</v>
      </c>
      <c r="C74" s="11" t="s">
        <v>27</v>
      </c>
      <c r="D74" s="11"/>
      <c r="E74" s="12" t="s">
        <v>104</v>
      </c>
      <c r="F74" s="13">
        <v>115.96</v>
      </c>
      <c r="G74" s="13">
        <f>VLOOKUP(B:B,[2]原表!$D$1:$J$65536,7,0)</f>
        <v>3464</v>
      </c>
      <c r="H74" s="14">
        <v>0.7813</v>
      </c>
      <c r="I74" s="13">
        <f>G74*0.06</f>
        <v>207.84</v>
      </c>
      <c r="J74" s="13">
        <f t="shared" si="12"/>
        <v>208</v>
      </c>
      <c r="K74" s="13">
        <f>VLOOKUP(B:B,[3]Sheet2!$I$1:$J$65536,2,0)</f>
        <v>118</v>
      </c>
      <c r="L74" s="13">
        <f t="shared" si="13"/>
        <v>-90</v>
      </c>
      <c r="M74" s="13">
        <f>L74*2</f>
        <v>-180</v>
      </c>
      <c r="N74" s="28">
        <v>0.844966</v>
      </c>
      <c r="O74" s="24">
        <v>0.7813</v>
      </c>
      <c r="P74" s="25">
        <f>O74*1.015</f>
        <v>0.7930195</v>
      </c>
      <c r="Q74" s="39">
        <v>212160</v>
      </c>
      <c r="R74" s="40">
        <f t="shared" si="14"/>
        <v>168247.01712</v>
      </c>
      <c r="S74" s="40" t="str">
        <f>VLOOKUP(B:B,[4]查询门店会员消费占比!$B$1:$K$65536,10,0)</f>
        <v>74.19%</v>
      </c>
      <c r="T74" s="41">
        <f t="shared" si="15"/>
        <v>-0.0689034910365277</v>
      </c>
      <c r="U74" s="39"/>
      <c r="V74" s="39"/>
      <c r="W74" s="42">
        <v>26</v>
      </c>
      <c r="X74" s="42">
        <f t="shared" si="16"/>
        <v>-52</v>
      </c>
      <c r="Y74" s="42">
        <f t="shared" si="17"/>
        <v>-232</v>
      </c>
    </row>
    <row r="75" spans="1:25">
      <c r="A75" s="11">
        <v>73</v>
      </c>
      <c r="B75" s="11">
        <v>549</v>
      </c>
      <c r="C75" s="11" t="s">
        <v>45</v>
      </c>
      <c r="D75" s="11"/>
      <c r="E75" s="12" t="s">
        <v>105</v>
      </c>
      <c r="F75" s="13">
        <v>66.24</v>
      </c>
      <c r="G75" s="13">
        <f>VLOOKUP(B:B,[2]原表!$D$1:$J$65536,7,0)</f>
        <v>1993</v>
      </c>
      <c r="H75" s="14">
        <v>0.8684</v>
      </c>
      <c r="I75" s="13">
        <f>G75*0.04</f>
        <v>79.72</v>
      </c>
      <c r="J75" s="13">
        <f t="shared" si="12"/>
        <v>80</v>
      </c>
      <c r="K75" s="13">
        <f>VLOOKUP(B:B,[3]Sheet2!$I$1:$J$65536,2,0)</f>
        <v>41</v>
      </c>
      <c r="L75" s="13">
        <f t="shared" si="13"/>
        <v>-39</v>
      </c>
      <c r="M75" s="13">
        <f>L75*2</f>
        <v>-78</v>
      </c>
      <c r="N75" s="28">
        <v>0.871428</v>
      </c>
      <c r="O75" s="24">
        <v>0.8684</v>
      </c>
      <c r="P75" s="28">
        <f>O75*1.01</f>
        <v>0.877084</v>
      </c>
      <c r="Q75" s="39">
        <v>117660</v>
      </c>
      <c r="R75" s="40">
        <f t="shared" si="14"/>
        <v>103197.70344</v>
      </c>
      <c r="S75" s="40" t="str">
        <f>VLOOKUP(B:B,[4]查询门店会员消费占比!$B$1:$K$65536,10,0)</f>
        <v>80.04%</v>
      </c>
      <c r="T75" s="41">
        <f t="shared" si="15"/>
        <v>-0.0958070964517739</v>
      </c>
      <c r="U75" s="39"/>
      <c r="V75" s="39"/>
      <c r="W75" s="42">
        <v>3</v>
      </c>
      <c r="X75" s="42">
        <f t="shared" si="16"/>
        <v>-6</v>
      </c>
      <c r="Y75" s="42">
        <f t="shared" si="17"/>
        <v>-84</v>
      </c>
    </row>
    <row r="76" spans="1:25">
      <c r="A76" s="11">
        <v>74</v>
      </c>
      <c r="B76" s="11">
        <v>720</v>
      </c>
      <c r="C76" s="11" t="s">
        <v>45</v>
      </c>
      <c r="D76" s="11"/>
      <c r="E76" s="12" t="s">
        <v>106</v>
      </c>
      <c r="F76" s="13">
        <v>67.04</v>
      </c>
      <c r="G76" s="13">
        <f>VLOOKUP(B:B,[2]原表!$D$1:$J$65536,7,0)</f>
        <v>1698</v>
      </c>
      <c r="H76" s="14">
        <v>0.8251</v>
      </c>
      <c r="I76" s="13">
        <f>G76*0.04</f>
        <v>67.92</v>
      </c>
      <c r="J76" s="13">
        <f t="shared" si="12"/>
        <v>68</v>
      </c>
      <c r="K76" s="13">
        <f>VLOOKUP(B:B,[3]Sheet2!$I$1:$J$65536,2,0)</f>
        <v>160</v>
      </c>
      <c r="L76" s="13">
        <f t="shared" si="13"/>
        <v>92</v>
      </c>
      <c r="M76" s="13"/>
      <c r="N76" s="28">
        <v>0.820423</v>
      </c>
      <c r="O76" s="24">
        <v>0.8251</v>
      </c>
      <c r="P76" s="28">
        <f>O76*1.01</f>
        <v>0.833351</v>
      </c>
      <c r="Q76" s="39">
        <v>104940</v>
      </c>
      <c r="R76" s="40">
        <f t="shared" si="14"/>
        <v>87451.85394</v>
      </c>
      <c r="S76" s="40" t="str">
        <f>VLOOKUP(B:B,[4]查询门店会员消费占比!$B$1:$K$65536,10,0)</f>
        <v>80.44%</v>
      </c>
      <c r="T76" s="41">
        <f t="shared" si="15"/>
        <v>-0.035990800596718</v>
      </c>
      <c r="U76" s="39"/>
      <c r="V76" s="39"/>
      <c r="W76" s="42">
        <v>1</v>
      </c>
      <c r="X76" s="42">
        <f t="shared" si="16"/>
        <v>-2</v>
      </c>
      <c r="Y76" s="42">
        <f t="shared" si="17"/>
        <v>-2</v>
      </c>
    </row>
    <row r="77" spans="1:25">
      <c r="A77" s="11">
        <v>75</v>
      </c>
      <c r="B77" s="11">
        <v>517</v>
      </c>
      <c r="C77" s="11" t="s">
        <v>37</v>
      </c>
      <c r="D77" s="11"/>
      <c r="E77" s="12" t="s">
        <v>107</v>
      </c>
      <c r="F77" s="15">
        <v>429.54</v>
      </c>
      <c r="G77" s="13">
        <f>VLOOKUP(B:B,[2]原表!$D$1:$J$65536,7,0)</f>
        <v>7372</v>
      </c>
      <c r="H77" s="14">
        <v>0.3626</v>
      </c>
      <c r="I77" s="15">
        <f>G77*0.12</f>
        <v>884.64</v>
      </c>
      <c r="J77" s="15">
        <f>ROUND(I77/2,0)</f>
        <v>442</v>
      </c>
      <c r="K77" s="13">
        <f>VLOOKUP(B:B,[3]Sheet2!$I$1:$J$65536,2,0)</f>
        <v>345</v>
      </c>
      <c r="L77" s="13">
        <f t="shared" si="13"/>
        <v>-97</v>
      </c>
      <c r="M77" s="13">
        <f>L77*2</f>
        <v>-194</v>
      </c>
      <c r="N77" s="32">
        <v>0.389272</v>
      </c>
      <c r="O77" s="24">
        <v>0.3626</v>
      </c>
      <c r="P77" s="33">
        <f>O77*1.045</f>
        <v>0.378917</v>
      </c>
      <c r="Q77" s="39">
        <v>572400</v>
      </c>
      <c r="R77" s="40">
        <f t="shared" si="14"/>
        <v>216892.0908</v>
      </c>
      <c r="S77" s="40" t="str">
        <f>VLOOKUP(B:B,[4]查询门店会员消费占比!$B$1:$K$65536,10,0)</f>
        <v>37.15%</v>
      </c>
      <c r="T77" s="41">
        <f t="shared" si="15"/>
        <v>-0.019965006729475</v>
      </c>
      <c r="U77" s="39"/>
      <c r="V77" s="39"/>
      <c r="W77" s="42">
        <v>33</v>
      </c>
      <c r="X77" s="42">
        <f t="shared" si="16"/>
        <v>-66</v>
      </c>
      <c r="Y77" s="42">
        <f t="shared" si="17"/>
        <v>-260</v>
      </c>
    </row>
    <row r="78" spans="1:25">
      <c r="A78" s="11">
        <v>76</v>
      </c>
      <c r="B78" s="11">
        <v>573</v>
      </c>
      <c r="C78" s="11" t="s">
        <v>30</v>
      </c>
      <c r="D78" s="11"/>
      <c r="E78" s="12" t="s">
        <v>108</v>
      </c>
      <c r="F78" s="13">
        <v>104.28</v>
      </c>
      <c r="G78" s="13">
        <f>VLOOKUP(B:B,[2]原表!$D$1:$J$65536,7,0)</f>
        <v>2894</v>
      </c>
      <c r="H78" s="14">
        <v>0.8146</v>
      </c>
      <c r="I78" s="13">
        <f>G78*0.04</f>
        <v>115.76</v>
      </c>
      <c r="J78" s="13">
        <f t="shared" si="12"/>
        <v>116</v>
      </c>
      <c r="K78" s="13">
        <f>VLOOKUP(B:B,[3]Sheet2!$I$1:$J$65536,2,0)</f>
        <v>77</v>
      </c>
      <c r="L78" s="13">
        <f t="shared" si="13"/>
        <v>-39</v>
      </c>
      <c r="M78" s="13">
        <f>L78*2</f>
        <v>-78</v>
      </c>
      <c r="N78" s="28">
        <v>0.822241</v>
      </c>
      <c r="O78" s="24">
        <v>0.8146</v>
      </c>
      <c r="P78" s="28">
        <f>O78*1.01</f>
        <v>0.822746</v>
      </c>
      <c r="Q78" s="39">
        <v>127200</v>
      </c>
      <c r="R78" s="40">
        <f t="shared" si="14"/>
        <v>104653.2912</v>
      </c>
      <c r="S78" s="40" t="str">
        <f>VLOOKUP(B:B,[4]查询门店会员消费占比!$B$1:$K$65536,10,0)</f>
        <v>73.48%</v>
      </c>
      <c r="T78" s="41">
        <f t="shared" si="15"/>
        <v>-0.119686989657049</v>
      </c>
      <c r="U78" s="39"/>
      <c r="V78" s="39"/>
      <c r="W78" s="42">
        <v>4</v>
      </c>
      <c r="X78" s="42">
        <f t="shared" si="16"/>
        <v>-8</v>
      </c>
      <c r="Y78" s="42">
        <f t="shared" si="17"/>
        <v>-86</v>
      </c>
    </row>
    <row r="79" spans="1:25">
      <c r="A79" s="11">
        <v>77</v>
      </c>
      <c r="B79" s="11">
        <v>738</v>
      </c>
      <c r="C79" s="11" t="s">
        <v>32</v>
      </c>
      <c r="D79" s="11"/>
      <c r="E79" s="12" t="s">
        <v>109</v>
      </c>
      <c r="F79" s="13">
        <v>62.52</v>
      </c>
      <c r="G79" s="13">
        <f>VLOOKUP(B:B,[2]原表!$D$1:$J$65536,7,0)</f>
        <v>1716</v>
      </c>
      <c r="H79" s="14">
        <v>0.8278</v>
      </c>
      <c r="I79" s="13">
        <f>G79*0.04</f>
        <v>68.64</v>
      </c>
      <c r="J79" s="13">
        <f t="shared" si="12"/>
        <v>69</v>
      </c>
      <c r="K79" s="13">
        <f>VLOOKUP(B:B,[3]Sheet2!$I$1:$J$65536,2,0)</f>
        <v>108</v>
      </c>
      <c r="L79" s="13">
        <f t="shared" si="13"/>
        <v>39</v>
      </c>
      <c r="M79" s="13"/>
      <c r="N79" s="28">
        <v>0.879609</v>
      </c>
      <c r="O79" s="24">
        <v>0.8278</v>
      </c>
      <c r="P79" s="28">
        <f>O79*1.01</f>
        <v>0.836078</v>
      </c>
      <c r="Q79" s="39">
        <v>114480</v>
      </c>
      <c r="R79" s="40">
        <f t="shared" si="14"/>
        <v>95714.20944</v>
      </c>
      <c r="S79" s="40" t="str">
        <f>VLOOKUP(B:B,[4]查询门店会员消费占比!$B$1:$K$65536,10,0)</f>
        <v>82.92%</v>
      </c>
      <c r="T79" s="41">
        <f t="shared" si="15"/>
        <v>-0.00829474191992274</v>
      </c>
      <c r="U79" s="39"/>
      <c r="V79" s="39"/>
      <c r="W79" s="42">
        <v>0</v>
      </c>
      <c r="X79" s="42">
        <f t="shared" si="16"/>
        <v>0</v>
      </c>
      <c r="Y79" s="42">
        <f t="shared" si="17"/>
        <v>0</v>
      </c>
    </row>
    <row r="80" spans="1:25">
      <c r="A80" s="11">
        <v>78</v>
      </c>
      <c r="B80" s="11">
        <v>373</v>
      </c>
      <c r="C80" s="11" t="s">
        <v>37</v>
      </c>
      <c r="D80" s="11"/>
      <c r="E80" s="12" t="s">
        <v>110</v>
      </c>
      <c r="F80" s="13">
        <v>152.12</v>
      </c>
      <c r="G80" s="13">
        <f>VLOOKUP(B:B,[2]原表!$D$1:$J$65536,7,0)</f>
        <v>4436</v>
      </c>
      <c r="H80" s="14">
        <v>0.7932</v>
      </c>
      <c r="I80" s="13">
        <f>G80*0.06</f>
        <v>266.16</v>
      </c>
      <c r="J80" s="13">
        <f t="shared" si="12"/>
        <v>266</v>
      </c>
      <c r="K80" s="13">
        <f>VLOOKUP(B:B,[3]Sheet2!$I$1:$J$65536,2,0)</f>
        <v>42</v>
      </c>
      <c r="L80" s="13">
        <f t="shared" si="13"/>
        <v>-224</v>
      </c>
      <c r="M80" s="13">
        <f>L80*2</f>
        <v>-448</v>
      </c>
      <c r="N80" s="28">
        <v>0.834765</v>
      </c>
      <c r="O80" s="24">
        <v>0.7932</v>
      </c>
      <c r="P80" s="25">
        <f>O80*1.015</f>
        <v>0.805098</v>
      </c>
      <c r="Q80" s="39">
        <v>280800</v>
      </c>
      <c r="R80" s="40">
        <f t="shared" si="14"/>
        <v>226071.5184</v>
      </c>
      <c r="S80" s="40" t="str">
        <f>VLOOKUP(B:B,[4]查询门店会员消费占比!$B$1:$K$65536,10,0)</f>
        <v>79.24%</v>
      </c>
      <c r="T80" s="41">
        <f t="shared" si="15"/>
        <v>-0.0160247349823321</v>
      </c>
      <c r="U80" s="39"/>
      <c r="V80" s="39"/>
      <c r="W80" s="42">
        <v>159</v>
      </c>
      <c r="X80" s="42">
        <f t="shared" si="16"/>
        <v>-318</v>
      </c>
      <c r="Y80" s="42">
        <f t="shared" si="17"/>
        <v>-766</v>
      </c>
    </row>
    <row r="81" spans="1:25">
      <c r="A81" s="11">
        <v>79</v>
      </c>
      <c r="B81" s="11">
        <v>101453</v>
      </c>
      <c r="C81" s="11" t="s">
        <v>32</v>
      </c>
      <c r="D81" s="11" t="s">
        <v>111</v>
      </c>
      <c r="E81" s="12" t="s">
        <v>112</v>
      </c>
      <c r="F81" s="13">
        <v>149.88</v>
      </c>
      <c r="G81" s="13">
        <f>VLOOKUP(B:B,[2]原表!$D$1:$J$65536,7,0)</f>
        <v>2989</v>
      </c>
      <c r="H81" s="14">
        <v>0.762</v>
      </c>
      <c r="I81" s="13">
        <f>G81*0.06</f>
        <v>179.34</v>
      </c>
      <c r="J81" s="13">
        <f t="shared" si="12"/>
        <v>179</v>
      </c>
      <c r="K81" s="13">
        <f>VLOOKUP(B:B,[3]Sheet2!$I$1:$J$65536,2,0)</f>
        <v>158</v>
      </c>
      <c r="L81" s="13">
        <f t="shared" si="13"/>
        <v>-21</v>
      </c>
      <c r="M81" s="13">
        <f>L81*2</f>
        <v>-42</v>
      </c>
      <c r="N81" s="28">
        <v>0.77568</v>
      </c>
      <c r="O81" s="24">
        <v>0.762</v>
      </c>
      <c r="P81" s="25">
        <f>O81*1.015</f>
        <v>0.77343</v>
      </c>
      <c r="Q81" s="39">
        <v>156000</v>
      </c>
      <c r="R81" s="40">
        <f t="shared" si="14"/>
        <v>120655.08</v>
      </c>
      <c r="S81" s="40" t="str">
        <f>VLOOKUP(B:B,[4]查询门店会员消费占比!$B$1:$K$65536,10,0)</f>
        <v>71.99%</v>
      </c>
      <c r="T81" s="41">
        <f t="shared" si="15"/>
        <v>-0.0743575496596749</v>
      </c>
      <c r="U81" s="39"/>
      <c r="V81" s="39"/>
      <c r="W81" s="42">
        <v>11</v>
      </c>
      <c r="X81" s="42">
        <f t="shared" si="16"/>
        <v>-22</v>
      </c>
      <c r="Y81" s="42">
        <f t="shared" si="17"/>
        <v>-64</v>
      </c>
    </row>
    <row r="82" spans="1:25">
      <c r="A82" s="11">
        <v>80</v>
      </c>
      <c r="B82" s="11">
        <v>385</v>
      </c>
      <c r="C82" s="11" t="s">
        <v>45</v>
      </c>
      <c r="D82" s="11"/>
      <c r="E82" s="12" t="s">
        <v>113</v>
      </c>
      <c r="F82" s="13">
        <v>122.36</v>
      </c>
      <c r="G82" s="13">
        <f>VLOOKUP(B:B,[2]原表!$D$1:$J$65536,7,0)</f>
        <v>3717</v>
      </c>
      <c r="H82" s="14">
        <v>0.8876</v>
      </c>
      <c r="I82" s="13">
        <f>G82*0.04</f>
        <v>148.68</v>
      </c>
      <c r="J82" s="13">
        <f t="shared" si="12"/>
        <v>149</v>
      </c>
      <c r="K82" s="13">
        <f>VLOOKUP(B:B,[3]Sheet2!$I$1:$J$65536,2,0)</f>
        <v>326</v>
      </c>
      <c r="L82" s="13">
        <f t="shared" si="13"/>
        <v>177</v>
      </c>
      <c r="M82" s="13"/>
      <c r="N82" s="28">
        <v>0.880215</v>
      </c>
      <c r="O82" s="24">
        <v>0.8876</v>
      </c>
      <c r="P82" s="28">
        <f>O82*1.01</f>
        <v>0.896476</v>
      </c>
      <c r="Q82" s="39">
        <v>291552</v>
      </c>
      <c r="R82" s="40">
        <f t="shared" si="14"/>
        <v>261369.370752</v>
      </c>
      <c r="S82" s="40" t="str">
        <f>VLOOKUP(B:B,[4]查询门店会员消费占比!$B$1:$K$65536,10,0)</f>
        <v>78.25%</v>
      </c>
      <c r="T82" s="41">
        <f t="shared" si="15"/>
        <v>-0.145656230031949</v>
      </c>
      <c r="U82" s="39"/>
      <c r="V82" s="39"/>
      <c r="W82" s="42">
        <v>2</v>
      </c>
      <c r="X82" s="42">
        <f t="shared" si="16"/>
        <v>-4</v>
      </c>
      <c r="Y82" s="42">
        <f t="shared" si="17"/>
        <v>-4</v>
      </c>
    </row>
    <row r="83" spans="1:25">
      <c r="A83" s="11">
        <v>81</v>
      </c>
      <c r="B83" s="11">
        <v>347</v>
      </c>
      <c r="C83" s="11" t="s">
        <v>27</v>
      </c>
      <c r="D83" s="11"/>
      <c r="E83" s="12" t="s">
        <v>114</v>
      </c>
      <c r="F83" s="13">
        <v>181.76</v>
      </c>
      <c r="G83" s="13">
        <f>VLOOKUP(B:B,[2]原表!$D$1:$J$65536,7,0)</f>
        <v>2654</v>
      </c>
      <c r="H83" s="14">
        <v>0.7472</v>
      </c>
      <c r="I83" s="13">
        <f>G83*0.06</f>
        <v>159.24</v>
      </c>
      <c r="J83" s="13">
        <f t="shared" si="12"/>
        <v>159</v>
      </c>
      <c r="K83" s="13">
        <f>VLOOKUP(B:B,[3]Sheet2!$I$1:$J$65536,2,0)</f>
        <v>64</v>
      </c>
      <c r="L83" s="13">
        <f t="shared" si="13"/>
        <v>-95</v>
      </c>
      <c r="M83" s="13">
        <f>L83*2</f>
        <v>-190</v>
      </c>
      <c r="N83" s="23">
        <v>0.702372</v>
      </c>
      <c r="O83" s="24">
        <v>0.7472</v>
      </c>
      <c r="P83" s="25">
        <f>O83*1.015</f>
        <v>0.758408</v>
      </c>
      <c r="Q83" s="39">
        <v>140400</v>
      </c>
      <c r="R83" s="40">
        <f t="shared" si="14"/>
        <v>106480.4832</v>
      </c>
      <c r="S83" s="40" t="str">
        <f>VLOOKUP(B:B,[4]查询门店会员消费占比!$B$1:$K$65536,10,0)</f>
        <v>69.11%</v>
      </c>
      <c r="T83" s="41">
        <f t="shared" si="15"/>
        <v>-0.0973925625813917</v>
      </c>
      <c r="U83" s="39"/>
      <c r="V83" s="39"/>
      <c r="W83" s="42">
        <v>93</v>
      </c>
      <c r="X83" s="42">
        <f t="shared" si="16"/>
        <v>-186</v>
      </c>
      <c r="Y83" s="42">
        <f t="shared" si="17"/>
        <v>-376</v>
      </c>
    </row>
    <row r="84" spans="1:25">
      <c r="A84" s="11">
        <v>82</v>
      </c>
      <c r="B84" s="11">
        <v>339</v>
      </c>
      <c r="C84" s="11" t="s">
        <v>27</v>
      </c>
      <c r="D84" s="11"/>
      <c r="E84" s="12" t="s">
        <v>115</v>
      </c>
      <c r="F84" s="13">
        <v>102.06</v>
      </c>
      <c r="G84" s="13">
        <f>VLOOKUP(B:B,[2]原表!$D$1:$J$65536,7,0)</f>
        <v>1918</v>
      </c>
      <c r="H84" s="16">
        <v>0.73</v>
      </c>
      <c r="I84" s="13">
        <f>G84*0.06</f>
        <v>115.08</v>
      </c>
      <c r="J84" s="13">
        <f t="shared" si="12"/>
        <v>115</v>
      </c>
      <c r="K84" s="13">
        <f>VLOOKUP(B:B,[3]Sheet2!$I$1:$J$65536,2,0)</f>
        <v>99</v>
      </c>
      <c r="L84" s="13">
        <f t="shared" si="13"/>
        <v>-16</v>
      </c>
      <c r="M84" s="13">
        <f>L84*2</f>
        <v>-32</v>
      </c>
      <c r="N84" s="23">
        <v>0.730116</v>
      </c>
      <c r="O84" s="29">
        <v>0.73</v>
      </c>
      <c r="P84" s="25">
        <f>O84*1.015</f>
        <v>0.74095</v>
      </c>
      <c r="Q84" s="39">
        <v>126859</v>
      </c>
      <c r="R84" s="40">
        <f t="shared" si="14"/>
        <v>93996.17605</v>
      </c>
      <c r="S84" s="40" t="str">
        <f>VLOOKUP(B:B,[4]查询门店会员消费占比!$B$1:$K$65536,10,0)</f>
        <v>74.01%</v>
      </c>
      <c r="T84" s="41">
        <f t="shared" si="15"/>
        <v>-0.00114849344683123</v>
      </c>
      <c r="U84" s="39"/>
      <c r="V84" s="39"/>
      <c r="W84" s="42">
        <v>3</v>
      </c>
      <c r="X84" s="42">
        <f t="shared" si="16"/>
        <v>-6</v>
      </c>
      <c r="Y84" s="42">
        <f t="shared" si="17"/>
        <v>-38</v>
      </c>
    </row>
    <row r="85" spans="1:25">
      <c r="A85" s="11">
        <v>83</v>
      </c>
      <c r="B85" s="11">
        <v>511</v>
      </c>
      <c r="C85" s="11" t="s">
        <v>37</v>
      </c>
      <c r="D85" s="11"/>
      <c r="E85" s="12" t="s">
        <v>116</v>
      </c>
      <c r="F85" s="13">
        <v>175.86</v>
      </c>
      <c r="G85" s="13">
        <f>VLOOKUP(B:B,[2]原表!$D$1:$J$65536,7,0)</f>
        <v>3736</v>
      </c>
      <c r="H85" s="14">
        <v>0.7745</v>
      </c>
      <c r="I85" s="13">
        <f>G85*0.06</f>
        <v>224.16</v>
      </c>
      <c r="J85" s="13">
        <f t="shared" si="12"/>
        <v>224</v>
      </c>
      <c r="K85" s="13">
        <f>VLOOKUP(B:B,[3]Sheet2!$I$1:$J$65536,2,0)</f>
        <v>182</v>
      </c>
      <c r="L85" s="13">
        <f t="shared" si="13"/>
        <v>-42</v>
      </c>
      <c r="M85" s="13">
        <f>L85*2</f>
        <v>-84</v>
      </c>
      <c r="N85" s="23">
        <v>0.760512</v>
      </c>
      <c r="O85" s="24">
        <v>0.7745</v>
      </c>
      <c r="P85" s="25">
        <f>O85*1.015</f>
        <v>0.7861175</v>
      </c>
      <c r="Q85" s="39">
        <v>177840</v>
      </c>
      <c r="R85" s="40">
        <f t="shared" si="14"/>
        <v>139803.1362</v>
      </c>
      <c r="S85" s="40" t="str">
        <f>VLOOKUP(B:B,[4]查询门店会员消费占比!$B$1:$K$65536,10,0)</f>
        <v>77.03%</v>
      </c>
      <c r="T85" s="41">
        <f t="shared" si="15"/>
        <v>-0.0205342074516421</v>
      </c>
      <c r="U85" s="39"/>
      <c r="V85" s="39"/>
      <c r="W85" s="42">
        <v>19</v>
      </c>
      <c r="X85" s="42">
        <f t="shared" si="16"/>
        <v>-38</v>
      </c>
      <c r="Y85" s="42">
        <f t="shared" si="17"/>
        <v>-122</v>
      </c>
    </row>
    <row r="86" spans="1:25">
      <c r="A86" s="11">
        <v>84</v>
      </c>
      <c r="B86" s="11">
        <v>755</v>
      </c>
      <c r="C86" s="11" t="s">
        <v>32</v>
      </c>
      <c r="D86" s="11" t="s">
        <v>117</v>
      </c>
      <c r="E86" s="12" t="s">
        <v>118</v>
      </c>
      <c r="F86" s="13">
        <v>89.84</v>
      </c>
      <c r="G86" s="13">
        <f>VLOOKUP(B:B,[2]原表!$D$1:$J$65536,7,0)</f>
        <v>1169</v>
      </c>
      <c r="H86" s="14">
        <v>0.5962</v>
      </c>
      <c r="I86" s="13">
        <f>G86*0.1</f>
        <v>116.9</v>
      </c>
      <c r="J86" s="13">
        <f t="shared" si="12"/>
        <v>117</v>
      </c>
      <c r="K86" s="13">
        <f>VLOOKUP(B:B,[3]Sheet2!$I$1:$J$65536,2,0)</f>
        <v>76</v>
      </c>
      <c r="L86" s="13">
        <f t="shared" si="13"/>
        <v>-41</v>
      </c>
      <c r="M86" s="13">
        <f>L86*2</f>
        <v>-82</v>
      </c>
      <c r="N86" s="23">
        <v>0.652902</v>
      </c>
      <c r="O86" s="24">
        <v>0.5962</v>
      </c>
      <c r="P86" s="27">
        <f>O86*1.035</f>
        <v>0.617067</v>
      </c>
      <c r="Q86" s="39">
        <v>64130</v>
      </c>
      <c r="R86" s="40">
        <f t="shared" si="14"/>
        <v>39572.50671</v>
      </c>
      <c r="S86" s="40" t="str">
        <f>VLOOKUP(B:B,[4]查询门店会员消费占比!$B$1:$K$65536,10,0)</f>
        <v>54.76%</v>
      </c>
      <c r="T86" s="41">
        <f t="shared" si="15"/>
        <v>-0.126857195032871</v>
      </c>
      <c r="U86" s="39"/>
      <c r="V86" s="39"/>
      <c r="W86" s="42">
        <v>11</v>
      </c>
      <c r="X86" s="42">
        <f t="shared" si="16"/>
        <v>-22</v>
      </c>
      <c r="Y86" s="42">
        <f t="shared" si="17"/>
        <v>-104</v>
      </c>
    </row>
    <row r="87" spans="1:25">
      <c r="A87" s="11">
        <v>85</v>
      </c>
      <c r="B87" s="11">
        <v>311</v>
      </c>
      <c r="C87" s="11" t="s">
        <v>27</v>
      </c>
      <c r="D87" s="11"/>
      <c r="E87" s="12" t="s">
        <v>119</v>
      </c>
      <c r="F87" s="13">
        <v>55.56</v>
      </c>
      <c r="G87" s="13">
        <f>VLOOKUP(B:B,[2]原表!$D$1:$J$65536,7,0)</f>
        <v>1317</v>
      </c>
      <c r="H87" s="14">
        <v>0.5991</v>
      </c>
      <c r="I87" s="13">
        <f>G87*0.1</f>
        <v>131.7</v>
      </c>
      <c r="J87" s="13">
        <f t="shared" si="12"/>
        <v>132</v>
      </c>
      <c r="K87" s="13">
        <f>VLOOKUP(B:B,[3]Sheet2!$I$1:$J$65536,2,0)</f>
        <v>98</v>
      </c>
      <c r="L87" s="13">
        <f t="shared" si="13"/>
        <v>-34</v>
      </c>
      <c r="M87" s="13">
        <f>L87*2</f>
        <v>-68</v>
      </c>
      <c r="N87" s="23">
        <v>0.751332</v>
      </c>
      <c r="O87" s="24">
        <v>0.5991</v>
      </c>
      <c r="P87" s="27">
        <f>O87*1.035</f>
        <v>0.6200685</v>
      </c>
      <c r="Q87" s="39">
        <v>156000</v>
      </c>
      <c r="R87" s="40">
        <f t="shared" si="14"/>
        <v>96730.686</v>
      </c>
      <c r="S87" s="40" t="str">
        <f>VLOOKUP(B:B,[4]查询门店会员消费占比!$B$1:$K$65536,10,0)</f>
        <v>55.43%</v>
      </c>
      <c r="T87" s="41">
        <f t="shared" si="15"/>
        <v>-0.118651452282157</v>
      </c>
      <c r="U87" s="39"/>
      <c r="V87" s="39"/>
      <c r="W87" s="42">
        <v>1</v>
      </c>
      <c r="X87" s="42">
        <f t="shared" si="16"/>
        <v>-2</v>
      </c>
      <c r="Y87" s="42">
        <f t="shared" si="17"/>
        <v>-70</v>
      </c>
    </row>
    <row r="88" spans="1:25">
      <c r="A88" s="11">
        <v>86</v>
      </c>
      <c r="B88" s="11">
        <v>102478</v>
      </c>
      <c r="C88" s="11" t="s">
        <v>37</v>
      </c>
      <c r="D88" s="11" t="s">
        <v>120</v>
      </c>
      <c r="E88" s="45" t="s">
        <v>121</v>
      </c>
      <c r="F88" s="13"/>
      <c r="G88" s="13">
        <f>VLOOKUP(B:B,[2]原表!$D$1:$J$65536,7,0)</f>
        <v>1343</v>
      </c>
      <c r="H88" s="14">
        <v>0.8099</v>
      </c>
      <c r="I88" s="13">
        <f>G88*0.04</f>
        <v>53.72</v>
      </c>
      <c r="J88" s="50"/>
      <c r="K88" s="13">
        <f>VLOOKUP(B:B,[3]Sheet2!$I$1:$J$65536,2,0)</f>
        <v>144</v>
      </c>
      <c r="L88" s="13">
        <f t="shared" si="13"/>
        <v>144</v>
      </c>
      <c r="M88" s="50"/>
      <c r="N88" s="28">
        <v>0.784751729595449</v>
      </c>
      <c r="O88" s="24">
        <v>0.8099</v>
      </c>
      <c r="P88" s="28">
        <f>O88*1.01</f>
        <v>0.817999</v>
      </c>
      <c r="Q88" s="39">
        <v>79500</v>
      </c>
      <c r="R88" s="40">
        <f t="shared" si="14"/>
        <v>65030.9205</v>
      </c>
      <c r="S88" s="40" t="str">
        <f>VLOOKUP(B:B,[4]查询门店会员消费占比!$B$1:$K$65536,10,0)</f>
        <v>78.32%</v>
      </c>
      <c r="T88" s="41">
        <f t="shared" si="15"/>
        <v>-0.0444318181818182</v>
      </c>
      <c r="U88" s="39"/>
      <c r="V88" s="39"/>
      <c r="W88" s="42">
        <v>208</v>
      </c>
      <c r="X88" s="42">
        <f t="shared" si="16"/>
        <v>-416</v>
      </c>
      <c r="Y88" s="42">
        <f t="shared" si="17"/>
        <v>-416</v>
      </c>
    </row>
    <row r="89" spans="1:25">
      <c r="A89" s="11">
        <v>87</v>
      </c>
      <c r="B89" s="11">
        <v>102567</v>
      </c>
      <c r="C89" s="11" t="s">
        <v>45</v>
      </c>
      <c r="D89" s="11" t="s">
        <v>122</v>
      </c>
      <c r="E89" s="45" t="s">
        <v>123</v>
      </c>
      <c r="F89" s="13"/>
      <c r="G89" s="13">
        <f>VLOOKUP(B:B,[2]原表!$D$1:$J$65536,7,0)</f>
        <v>1480</v>
      </c>
      <c r="H89" s="14">
        <v>0.7253</v>
      </c>
      <c r="I89" s="13">
        <f>G89*0.06</f>
        <v>88.8</v>
      </c>
      <c r="J89" s="50"/>
      <c r="K89" s="13">
        <f>VLOOKUP(B:B,[3]Sheet2!$I$1:$J$65536,2,0)</f>
        <v>184</v>
      </c>
      <c r="L89" s="13">
        <f t="shared" si="13"/>
        <v>184</v>
      </c>
      <c r="M89" s="50"/>
      <c r="N89" s="28">
        <v>0.79452300789039</v>
      </c>
      <c r="O89" s="24">
        <v>0.7253</v>
      </c>
      <c r="P89" s="25">
        <f>O89*1.015</f>
        <v>0.7361795</v>
      </c>
      <c r="Q89" s="39">
        <v>84270</v>
      </c>
      <c r="R89" s="40">
        <f t="shared" si="14"/>
        <v>62037.846465</v>
      </c>
      <c r="S89" s="40" t="str">
        <f>VLOOKUP(B:B,[4]查询门店会员消费占比!$B$1:$K$65536,10,0)</f>
        <v>74.87%</v>
      </c>
      <c r="T89" s="41">
        <f t="shared" si="15"/>
        <v>0.0167229865099508</v>
      </c>
      <c r="U89" s="39"/>
      <c r="V89" s="39"/>
      <c r="W89" s="42">
        <v>1</v>
      </c>
      <c r="X89" s="42">
        <f t="shared" si="16"/>
        <v>-2</v>
      </c>
      <c r="Y89" s="42">
        <f t="shared" si="17"/>
        <v>-2</v>
      </c>
    </row>
    <row r="90" spans="1:25">
      <c r="A90" s="11">
        <v>88</v>
      </c>
      <c r="B90" s="11">
        <v>102479</v>
      </c>
      <c r="C90" s="11" t="s">
        <v>37</v>
      </c>
      <c r="D90" s="11" t="s">
        <v>124</v>
      </c>
      <c r="E90" s="45" t="s">
        <v>125</v>
      </c>
      <c r="F90" s="13"/>
      <c r="G90" s="13">
        <f>VLOOKUP(B:B,[2]原表!$D$1:$J$65536,7,0)</f>
        <v>3069</v>
      </c>
      <c r="H90" s="14">
        <v>0.7433</v>
      </c>
      <c r="I90" s="13">
        <f>G90*0.06</f>
        <v>184.14</v>
      </c>
      <c r="J90" s="51"/>
      <c r="K90" s="13">
        <f>VLOOKUP(B:B,[3]Sheet2!$I$1:$J$65536,2,0)</f>
        <v>515</v>
      </c>
      <c r="L90" s="13">
        <f t="shared" si="13"/>
        <v>515</v>
      </c>
      <c r="M90" s="51"/>
      <c r="N90" s="28">
        <v>0.805915272407209</v>
      </c>
      <c r="O90" s="24">
        <v>0.7433</v>
      </c>
      <c r="P90" s="25">
        <f>O90*1.015</f>
        <v>0.7544495</v>
      </c>
      <c r="Q90" s="39">
        <v>120840</v>
      </c>
      <c r="R90" s="40">
        <f t="shared" si="14"/>
        <v>91167.67758</v>
      </c>
      <c r="S90" s="40" t="str">
        <f>VLOOKUP(B:B,[4]查询门店会员消费占比!$B$1:$K$65536,10,0)</f>
        <v>74.29%</v>
      </c>
      <c r="T90" s="41">
        <f t="shared" si="15"/>
        <v>-0.0155465069322921</v>
      </c>
      <c r="U90" s="39"/>
      <c r="V90" s="39"/>
      <c r="W90" s="42">
        <v>70</v>
      </c>
      <c r="X90" s="42">
        <f t="shared" si="16"/>
        <v>-140</v>
      </c>
      <c r="Y90" s="42">
        <f t="shared" si="17"/>
        <v>-140</v>
      </c>
    </row>
    <row r="91" spans="1:25">
      <c r="A91" s="11">
        <v>89</v>
      </c>
      <c r="B91" s="11">
        <v>103198</v>
      </c>
      <c r="C91" s="11" t="s">
        <v>27</v>
      </c>
      <c r="D91" s="11" t="s">
        <v>126</v>
      </c>
      <c r="E91" s="45" t="s">
        <v>127</v>
      </c>
      <c r="F91" s="15">
        <v>600</v>
      </c>
      <c r="G91" s="13">
        <f>VLOOKUP(B:B,[2]原表!$D$1:$J$65536,7,0)</f>
        <v>3050</v>
      </c>
      <c r="H91" s="14">
        <v>0.7596</v>
      </c>
      <c r="I91" s="15">
        <v>300</v>
      </c>
      <c r="J91" s="51"/>
      <c r="K91" s="13">
        <f>VLOOKUP(B:B,[3]Sheet2!$I$1:$J$65536,2,0)</f>
        <v>174</v>
      </c>
      <c r="L91" s="13">
        <f t="shared" si="13"/>
        <v>174</v>
      </c>
      <c r="M91" s="51"/>
      <c r="N91" s="28">
        <v>0.804082493619959</v>
      </c>
      <c r="O91" s="24">
        <v>0.7596</v>
      </c>
      <c r="P91" s="25">
        <f>O91*1.015</f>
        <v>0.770994</v>
      </c>
      <c r="Q91" s="39">
        <v>156000</v>
      </c>
      <c r="R91" s="40">
        <f t="shared" si="14"/>
        <v>120275.064</v>
      </c>
      <c r="S91" s="40" t="str">
        <f>VLOOKUP(B:B,[4]查询门店会员消费占比!$B$1:$K$65536,10,0)</f>
        <v>72.04%</v>
      </c>
      <c r="T91" s="41">
        <f t="shared" si="15"/>
        <v>-0.0702304275402553</v>
      </c>
      <c r="U91" s="39"/>
      <c r="V91" s="39"/>
      <c r="W91" s="42">
        <v>106</v>
      </c>
      <c r="X91" s="42">
        <f t="shared" si="16"/>
        <v>-212</v>
      </c>
      <c r="Y91" s="42">
        <f t="shared" si="17"/>
        <v>-212</v>
      </c>
    </row>
    <row r="92" spans="1:25">
      <c r="A92" s="11">
        <v>91</v>
      </c>
      <c r="B92" s="11">
        <v>102935</v>
      </c>
      <c r="C92" s="11" t="s">
        <v>37</v>
      </c>
      <c r="D92" s="11" t="s">
        <v>126</v>
      </c>
      <c r="E92" s="45" t="s">
        <v>128</v>
      </c>
      <c r="F92" s="15">
        <v>390</v>
      </c>
      <c r="G92" s="13">
        <f>VLOOKUP(B:B,[2]原表!$D$1:$J$65536,7,0)</f>
        <v>2587</v>
      </c>
      <c r="H92" s="14">
        <v>0.7021</v>
      </c>
      <c r="I92" s="15">
        <v>195</v>
      </c>
      <c r="J92" s="51"/>
      <c r="K92" s="13">
        <f>VLOOKUP(B:B,[3]Sheet2!$I$1:$J$65536,2,0)</f>
        <v>204</v>
      </c>
      <c r="L92" s="13">
        <f t="shared" si="13"/>
        <v>204</v>
      </c>
      <c r="M92" s="51"/>
      <c r="N92" s="28">
        <v>0.797399247959994</v>
      </c>
      <c r="O92" s="24">
        <v>0.7021</v>
      </c>
      <c r="P92" s="25">
        <f>O92*1.015</f>
        <v>0.7126315</v>
      </c>
      <c r="Q92" s="39">
        <v>127200</v>
      </c>
      <c r="R92" s="40">
        <f t="shared" si="14"/>
        <v>90646.7268</v>
      </c>
      <c r="S92" s="40" t="str">
        <f>VLOOKUP(B:B,[4]查询门店会员消费占比!$B$1:$K$65536,10,0)</f>
        <v>72.66%</v>
      </c>
      <c r="T92" s="41">
        <f t="shared" si="15"/>
        <v>0.0192244701348748</v>
      </c>
      <c r="U92" s="39"/>
      <c r="V92" s="39"/>
      <c r="W92" s="42">
        <v>104</v>
      </c>
      <c r="X92" s="42">
        <f t="shared" si="16"/>
        <v>-208</v>
      </c>
      <c r="Y92" s="42">
        <f t="shared" si="17"/>
        <v>-208</v>
      </c>
    </row>
    <row r="93" spans="1:25">
      <c r="A93" s="11">
        <v>92</v>
      </c>
      <c r="B93" s="11">
        <v>102565</v>
      </c>
      <c r="C93" s="11" t="s">
        <v>27</v>
      </c>
      <c r="D93" s="11" t="s">
        <v>129</v>
      </c>
      <c r="E93" s="45" t="s">
        <v>130</v>
      </c>
      <c r="F93" s="15">
        <v>360</v>
      </c>
      <c r="G93" s="13">
        <f>VLOOKUP(B:B,[2]原表!$D$1:$J$65536,7,0)</f>
        <v>3293</v>
      </c>
      <c r="H93" s="14">
        <v>0.5164</v>
      </c>
      <c r="I93" s="15">
        <v>320</v>
      </c>
      <c r="J93" s="51"/>
      <c r="K93" s="13">
        <f>VLOOKUP(B:B,[3]Sheet2!$I$1:$J$65536,2,0)</f>
        <v>280</v>
      </c>
      <c r="L93" s="13">
        <f t="shared" si="13"/>
        <v>280</v>
      </c>
      <c r="M93" s="51"/>
      <c r="N93" s="32">
        <v>0.484972416617306</v>
      </c>
      <c r="O93" s="24">
        <v>0.5164</v>
      </c>
      <c r="P93" s="27">
        <f>O93*1.035</f>
        <v>0.534474</v>
      </c>
      <c r="Q93" s="39">
        <v>133560</v>
      </c>
      <c r="R93" s="40">
        <f t="shared" si="14"/>
        <v>71384.34744</v>
      </c>
      <c r="S93" s="40" t="str">
        <f>VLOOKUP(B:B,[4]查询门店会员消费占比!$B$1:$K$65536,10,0)</f>
        <v>46.53%</v>
      </c>
      <c r="T93" s="41">
        <f t="shared" si="15"/>
        <v>-0.148665377176015</v>
      </c>
      <c r="U93" s="39"/>
      <c r="V93" s="39"/>
      <c r="W93" s="42">
        <v>6</v>
      </c>
      <c r="X93" s="42">
        <f t="shared" si="16"/>
        <v>-12</v>
      </c>
      <c r="Y93" s="42">
        <f t="shared" si="17"/>
        <v>-12</v>
      </c>
    </row>
    <row r="94" spans="1:25">
      <c r="A94" s="11">
        <v>93</v>
      </c>
      <c r="B94" s="11">
        <v>102564</v>
      </c>
      <c r="C94" s="11" t="s">
        <v>45</v>
      </c>
      <c r="D94" s="11" t="s">
        <v>131</v>
      </c>
      <c r="E94" s="45" t="s">
        <v>132</v>
      </c>
      <c r="F94" s="15">
        <v>240</v>
      </c>
      <c r="G94" s="13">
        <f>VLOOKUP(B:B,[2]原表!$D$1:$J$65536,7,0)</f>
        <v>1416</v>
      </c>
      <c r="H94" s="14">
        <v>0.8002</v>
      </c>
      <c r="I94" s="15">
        <v>120</v>
      </c>
      <c r="J94" s="51"/>
      <c r="K94" s="13">
        <f>VLOOKUP(B:B,[3]Sheet2!$I$1:$J$65536,2,0)</f>
        <v>132</v>
      </c>
      <c r="L94" s="13">
        <f t="shared" si="13"/>
        <v>132</v>
      </c>
      <c r="M94" s="51"/>
      <c r="N94" s="28">
        <v>0.85975184192345</v>
      </c>
      <c r="O94" s="24">
        <v>0.8002</v>
      </c>
      <c r="P94" s="28">
        <f>O94*1.01</f>
        <v>0.808202</v>
      </c>
      <c r="Q94" s="39">
        <v>63600</v>
      </c>
      <c r="R94" s="40">
        <f t="shared" si="14"/>
        <v>51401.6472</v>
      </c>
      <c r="S94" s="40" t="str">
        <f>VLOOKUP(B:B,[4]查询门店会员消费占比!$B$1:$K$65536,10,0)</f>
        <v>81.54%</v>
      </c>
      <c r="T94" s="41">
        <f t="shared" si="15"/>
        <v>0.0088275692911455</v>
      </c>
      <c r="U94" s="39"/>
      <c r="V94" s="39"/>
      <c r="W94" s="42">
        <v>2</v>
      </c>
      <c r="X94" s="42">
        <f t="shared" si="16"/>
        <v>-4</v>
      </c>
      <c r="Y94" s="42">
        <f t="shared" si="17"/>
        <v>-4</v>
      </c>
    </row>
    <row r="95" spans="1:25">
      <c r="A95" s="11">
        <v>94</v>
      </c>
      <c r="B95" s="11">
        <v>102934</v>
      </c>
      <c r="C95" s="11" t="s">
        <v>27</v>
      </c>
      <c r="D95" s="11" t="s">
        <v>133</v>
      </c>
      <c r="E95" s="45" t="s">
        <v>134</v>
      </c>
      <c r="F95" s="15">
        <v>660</v>
      </c>
      <c r="G95" s="13">
        <f>VLOOKUP(B:B,[2]原表!$D$1:$J$65536,7,0)</f>
        <v>4165</v>
      </c>
      <c r="H95" s="14">
        <v>0.6648</v>
      </c>
      <c r="I95" s="15">
        <f>G95*0.08</f>
        <v>333.2</v>
      </c>
      <c r="J95" s="51"/>
      <c r="K95" s="13">
        <f>VLOOKUP(B:B,[3]Sheet2!$I$1:$J$65536,2,0)</f>
        <v>422</v>
      </c>
      <c r="L95" s="13">
        <f t="shared" si="13"/>
        <v>422</v>
      </c>
      <c r="M95" s="51"/>
      <c r="N95" s="28">
        <v>0.824851241844128</v>
      </c>
      <c r="O95" s="24">
        <v>0.6648</v>
      </c>
      <c r="P95" s="30">
        <f>O95*1.025</f>
        <v>0.68142</v>
      </c>
      <c r="Q95" s="39">
        <v>218400</v>
      </c>
      <c r="R95" s="40">
        <f t="shared" si="14"/>
        <v>148822.128</v>
      </c>
      <c r="S95" s="40" t="str">
        <f>VLOOKUP(B:B,[4]查询门店会员消费占比!$B$1:$K$65536,10,0)</f>
        <v>71.14%</v>
      </c>
      <c r="T95" s="43">
        <f t="shared" si="15"/>
        <v>0.0421422547090246</v>
      </c>
      <c r="U95" s="39"/>
      <c r="V95" s="39"/>
      <c r="W95" s="42">
        <v>11</v>
      </c>
      <c r="X95" s="42">
        <f t="shared" si="16"/>
        <v>-22</v>
      </c>
      <c r="Y95" s="42">
        <f t="shared" si="17"/>
        <v>-22</v>
      </c>
    </row>
    <row r="96" spans="1:25">
      <c r="A96" s="11">
        <v>90</v>
      </c>
      <c r="B96" s="11">
        <v>103199</v>
      </c>
      <c r="C96" s="11" t="s">
        <v>27</v>
      </c>
      <c r="D96" s="11" t="s">
        <v>135</v>
      </c>
      <c r="E96" s="45" t="s">
        <v>136</v>
      </c>
      <c r="F96" s="13">
        <v>450</v>
      </c>
      <c r="G96" s="13">
        <f>VLOOKUP(B:B,[2]原表!$D$1:$J$65536,7,0)</f>
        <v>2295</v>
      </c>
      <c r="H96" s="14">
        <v>0.6492</v>
      </c>
      <c r="I96" s="13">
        <v>225</v>
      </c>
      <c r="J96" s="13"/>
      <c r="K96" s="13">
        <f>VLOOKUP(B:B,[3]Sheet2!$I$1:$J$65536,2,0)</f>
        <v>111</v>
      </c>
      <c r="L96" s="13">
        <f t="shared" si="13"/>
        <v>111</v>
      </c>
      <c r="M96" s="13"/>
      <c r="N96" s="23">
        <v>0.709338462203447</v>
      </c>
      <c r="O96" s="24">
        <v>0.6492</v>
      </c>
      <c r="P96" s="30">
        <f>O96*1.025</f>
        <v>0.66543</v>
      </c>
      <c r="Q96" s="39">
        <v>120840</v>
      </c>
      <c r="R96" s="40">
        <f t="shared" si="14"/>
        <v>80410.5612</v>
      </c>
      <c r="S96" s="40" t="str">
        <f>VLOOKUP(B:B,[4]查询门店会员消费占比!$B$1:$K$65536,10,0)</f>
        <v>60.51%</v>
      </c>
      <c r="T96" s="41">
        <f t="shared" si="15"/>
        <v>-0.0997025285076847</v>
      </c>
      <c r="U96" s="39"/>
      <c r="V96" s="39"/>
      <c r="W96" s="42">
        <v>203</v>
      </c>
      <c r="X96" s="42">
        <f t="shared" si="16"/>
        <v>-406</v>
      </c>
      <c r="Y96" s="42">
        <f t="shared" si="17"/>
        <v>-406</v>
      </c>
    </row>
    <row r="97" spans="1:25">
      <c r="A97" s="11">
        <v>95</v>
      </c>
      <c r="B97" s="11">
        <v>103639</v>
      </c>
      <c r="C97" s="11" t="s">
        <v>30</v>
      </c>
      <c r="D97" s="11" t="s">
        <v>137</v>
      </c>
      <c r="E97" s="45" t="s">
        <v>138</v>
      </c>
      <c r="F97" s="15">
        <v>540</v>
      </c>
      <c r="G97" s="13">
        <f>VLOOKUP(B:B,[2]原表!$D$1:$J$65536,7,0)</f>
        <v>2117</v>
      </c>
      <c r="H97" s="14">
        <v>0.6431</v>
      </c>
      <c r="I97" s="13">
        <f>G97*0.08</f>
        <v>169.36</v>
      </c>
      <c r="J97" s="52"/>
      <c r="K97" s="13">
        <f>VLOOKUP(B:B,[3]Sheet2!$I$1:$J$65536,2,0)</f>
        <v>319</v>
      </c>
      <c r="L97" s="13">
        <f t="shared" si="13"/>
        <v>319</v>
      </c>
      <c r="M97" s="52"/>
      <c r="N97" s="23">
        <v>0.626475502717441</v>
      </c>
      <c r="O97" s="24">
        <v>0.6431</v>
      </c>
      <c r="P97" s="30">
        <f>O97*1.025</f>
        <v>0.6591775</v>
      </c>
      <c r="Q97" s="39">
        <v>127200</v>
      </c>
      <c r="R97" s="40">
        <f t="shared" si="14"/>
        <v>83847.378</v>
      </c>
      <c r="S97" s="40" t="str">
        <f>VLOOKUP(B:B,[4]查询门店会员消费占比!$B$1:$K$65536,10,0)</f>
        <v>64.87%</v>
      </c>
      <c r="T97" s="41">
        <f t="shared" si="15"/>
        <v>-0.0161515338369045</v>
      </c>
      <c r="U97" s="39"/>
      <c r="V97" s="39"/>
      <c r="W97" s="42">
        <v>53</v>
      </c>
      <c r="X97" s="42">
        <f t="shared" si="16"/>
        <v>-106</v>
      </c>
      <c r="Y97" s="42">
        <f t="shared" si="17"/>
        <v>-106</v>
      </c>
    </row>
    <row r="98" ht="14.25" spans="1:25">
      <c r="A98" s="11">
        <v>96</v>
      </c>
      <c r="B98" s="46">
        <v>104428</v>
      </c>
      <c r="C98" s="11" t="s">
        <v>32</v>
      </c>
      <c r="D98" s="11" t="s">
        <v>139</v>
      </c>
      <c r="E98" s="45" t="s">
        <v>140</v>
      </c>
      <c r="F98" s="15">
        <v>450</v>
      </c>
      <c r="G98" s="13">
        <f>VLOOKUP(B:B,[2]原表!$D$1:$J$65536,7,0)</f>
        <v>1383</v>
      </c>
      <c r="H98" s="14">
        <v>0.7024</v>
      </c>
      <c r="I98" s="13">
        <f>G98*0.06</f>
        <v>82.98</v>
      </c>
      <c r="J98" s="53"/>
      <c r="K98" s="13">
        <f>VLOOKUP(B:B,[3]Sheet2!$I$1:$J$65536,2,0)</f>
        <v>72</v>
      </c>
      <c r="L98" s="13">
        <f t="shared" si="13"/>
        <v>72</v>
      </c>
      <c r="M98" s="53"/>
      <c r="N98" s="54">
        <v>0.690438</v>
      </c>
      <c r="O98" s="24">
        <v>0.7024</v>
      </c>
      <c r="P98" s="25">
        <f>O98*1.015</f>
        <v>0.712936</v>
      </c>
      <c r="Q98" s="39">
        <v>79500</v>
      </c>
      <c r="R98" s="40">
        <f t="shared" si="14"/>
        <v>56678.412</v>
      </c>
      <c r="S98" s="40" t="str">
        <f>VLOOKUP(B:B,[4]查询门店会员消费占比!$B$1:$K$65536,10,0)</f>
        <v>67.24%</v>
      </c>
      <c r="T98" s="41">
        <f t="shared" si="15"/>
        <v>-0.0602855443188577</v>
      </c>
      <c r="U98" s="39"/>
      <c r="V98" s="39"/>
      <c r="W98" s="42">
        <v>1</v>
      </c>
      <c r="X98" s="42">
        <f t="shared" si="16"/>
        <v>-2</v>
      </c>
      <c r="Y98" s="42">
        <f t="shared" si="17"/>
        <v>-2</v>
      </c>
    </row>
    <row r="99" spans="1:25">
      <c r="A99" s="11">
        <v>97</v>
      </c>
      <c r="B99" s="46">
        <v>104429</v>
      </c>
      <c r="C99" s="11" t="str">
        <f>VLOOKUP(B:B,[1]查询时间段分门店销售汇总!$D$1:$H$65536,5,0)</f>
        <v>西北片区</v>
      </c>
      <c r="D99" s="11" t="s">
        <v>141</v>
      </c>
      <c r="E99" s="45" t="s">
        <v>142</v>
      </c>
      <c r="F99" s="15">
        <v>450</v>
      </c>
      <c r="G99" s="13">
        <f>VLOOKUP(B:B,[2]原表!$D$1:$J$65536,7,0)</f>
        <v>1010</v>
      </c>
      <c r="H99" s="14">
        <v>0.4754</v>
      </c>
      <c r="I99" s="15">
        <f>G99*0.12</f>
        <v>121.2</v>
      </c>
      <c r="J99" s="53"/>
      <c r="K99" s="13">
        <f>VLOOKUP(B:B,[3]Sheet2!$I$1:$J$65536,2,0)</f>
        <v>45</v>
      </c>
      <c r="L99" s="13">
        <f t="shared" si="13"/>
        <v>45</v>
      </c>
      <c r="M99" s="53"/>
      <c r="N99" s="32">
        <v>0.48048</v>
      </c>
      <c r="O99" s="24">
        <v>0.4754</v>
      </c>
      <c r="P99" s="33">
        <f>O99*1.045</f>
        <v>0.496793</v>
      </c>
      <c r="Q99" s="39">
        <v>63600</v>
      </c>
      <c r="R99" s="40">
        <f t="shared" si="14"/>
        <v>31596.0348</v>
      </c>
      <c r="S99" s="40" t="str">
        <f>VLOOKUP(B:B,[4]查询门店会员消费占比!$B$1:$K$65536,10,0)</f>
        <v>39.41%</v>
      </c>
      <c r="T99" s="41">
        <f t="shared" si="15"/>
        <v>-0.260575995940117</v>
      </c>
      <c r="U99" s="39"/>
      <c r="V99" s="39"/>
      <c r="W99" s="42">
        <v>44</v>
      </c>
      <c r="X99" s="42">
        <f t="shared" si="16"/>
        <v>-88</v>
      </c>
      <c r="Y99" s="42">
        <f t="shared" si="17"/>
        <v>-88</v>
      </c>
    </row>
    <row r="100" spans="1:25">
      <c r="A100" s="11">
        <v>98</v>
      </c>
      <c r="B100" s="46">
        <v>104430</v>
      </c>
      <c r="C100" s="11" t="str">
        <f>VLOOKUP(B:B,[1]查询时间段分门店销售汇总!$D$1:$H$65536,5,0)</f>
        <v>东南片区</v>
      </c>
      <c r="D100" s="11" t="s">
        <v>143</v>
      </c>
      <c r="E100" s="45" t="s">
        <v>144</v>
      </c>
      <c r="F100" s="15">
        <v>450</v>
      </c>
      <c r="G100" s="13">
        <f>VLOOKUP(B:B,[2]原表!$D$1:$J$65536,7,0)</f>
        <v>1146</v>
      </c>
      <c r="H100" s="14">
        <v>0.8443</v>
      </c>
      <c r="I100" s="13">
        <f>G100*0.04</f>
        <v>45.84</v>
      </c>
      <c r="J100" s="53"/>
      <c r="K100" s="13">
        <f>VLOOKUP(B:B,[3]Sheet2!$I$1:$J$65536,2,0)</f>
        <v>317</v>
      </c>
      <c r="L100" s="13">
        <f t="shared" si="13"/>
        <v>317</v>
      </c>
      <c r="M100" s="53"/>
      <c r="N100" s="54">
        <v>0.739602</v>
      </c>
      <c r="O100" s="24">
        <v>0.8443</v>
      </c>
      <c r="P100" s="28">
        <f>O100*1.01</f>
        <v>0.852743</v>
      </c>
      <c r="Q100" s="39">
        <v>47700</v>
      </c>
      <c r="R100" s="40">
        <f t="shared" si="14"/>
        <v>40675.8411</v>
      </c>
      <c r="S100" s="40" t="str">
        <f>VLOOKUP(B:B,[4]查询门店会员消费占比!$B$1:$K$65536,10,0)</f>
        <v>79.88%</v>
      </c>
      <c r="T100" s="41">
        <f t="shared" si="15"/>
        <v>-0.0675300450676015</v>
      </c>
      <c r="U100" s="39"/>
      <c r="V100" s="39"/>
      <c r="W100" s="42">
        <v>8</v>
      </c>
      <c r="X100" s="42">
        <f>W100*-2</f>
        <v>-16</v>
      </c>
      <c r="Y100" s="42">
        <f>X100+M100</f>
        <v>-16</v>
      </c>
    </row>
    <row r="101" spans="1:25">
      <c r="A101" s="11">
        <v>99</v>
      </c>
      <c r="B101" s="46">
        <v>104533</v>
      </c>
      <c r="C101" s="11" t="s">
        <v>45</v>
      </c>
      <c r="D101" s="11" t="s">
        <v>145</v>
      </c>
      <c r="E101" s="45" t="s">
        <v>146</v>
      </c>
      <c r="F101" s="15">
        <v>450</v>
      </c>
      <c r="G101" s="13">
        <f>VLOOKUP(B:B,[2]原表!$D$1:$J$65536,7,0)</f>
        <v>942</v>
      </c>
      <c r="H101" s="14">
        <v>0.7494</v>
      </c>
      <c r="I101" s="13">
        <f>G101*0.06</f>
        <v>56.52</v>
      </c>
      <c r="J101" s="53"/>
      <c r="K101" s="13">
        <f>VLOOKUP(B:B,[3]Sheet2!$I$1:$J$65536,2,0)</f>
        <v>173</v>
      </c>
      <c r="L101" s="13">
        <f t="shared" si="13"/>
        <v>173</v>
      </c>
      <c r="M101" s="53"/>
      <c r="N101" s="55">
        <v>0.65</v>
      </c>
      <c r="O101" s="24">
        <v>0.7494</v>
      </c>
      <c r="P101" s="25">
        <f>O101*1.015</f>
        <v>0.760641</v>
      </c>
      <c r="Q101" s="39">
        <v>49500</v>
      </c>
      <c r="R101" s="40">
        <f t="shared" si="14"/>
        <v>37651.7295</v>
      </c>
      <c r="S101" s="40" t="str">
        <f>VLOOKUP(B:B,[4]查询门店会员消费占比!$B$1:$K$65536,10,0)</f>
        <v>78.32%</v>
      </c>
      <c r="T101" s="43">
        <f t="shared" si="15"/>
        <v>0.0288036261491318</v>
      </c>
      <c r="U101" s="39"/>
      <c r="V101" s="39"/>
      <c r="W101" s="42">
        <v>1</v>
      </c>
      <c r="X101" s="42">
        <f>W101*-2</f>
        <v>-2</v>
      </c>
      <c r="Y101" s="42">
        <f>X101+M101</f>
        <v>-2</v>
      </c>
    </row>
    <row r="102" spans="1:25">
      <c r="A102" s="11">
        <v>100</v>
      </c>
      <c r="B102" s="46">
        <v>104838</v>
      </c>
      <c r="C102" s="11" t="s">
        <v>32</v>
      </c>
      <c r="D102" s="11" t="s">
        <v>147</v>
      </c>
      <c r="E102" s="45" t="s">
        <v>148</v>
      </c>
      <c r="F102" s="15">
        <v>450</v>
      </c>
      <c r="G102" s="13">
        <f>VLOOKUP(B:B,[2]原表!$D$1:$J$65536,7,0)</f>
        <v>1042</v>
      </c>
      <c r="H102" s="14">
        <v>0.7482</v>
      </c>
      <c r="I102" s="13">
        <f>G102*0.06</f>
        <v>62.52</v>
      </c>
      <c r="J102" s="53"/>
      <c r="K102" s="13">
        <f>VLOOKUP(B:B,[3]Sheet2!$I$1:$J$65536,2,0)</f>
        <v>210</v>
      </c>
      <c r="L102" s="13">
        <f t="shared" si="13"/>
        <v>210</v>
      </c>
      <c r="M102" s="53"/>
      <c r="N102" s="55">
        <v>0.65</v>
      </c>
      <c r="O102" s="24">
        <v>0.7482</v>
      </c>
      <c r="P102" s="25">
        <f>O102*1.015</f>
        <v>0.759423</v>
      </c>
      <c r="Q102" s="39">
        <v>63600</v>
      </c>
      <c r="R102" s="40">
        <f t="shared" si="14"/>
        <v>48299.3028</v>
      </c>
      <c r="S102" s="40" t="str">
        <f>VLOOKUP(B:B,[4]查询门店会员消费占比!$B$1:$K$65536,10,0)</f>
        <v>76.44%</v>
      </c>
      <c r="T102" s="41">
        <f t="shared" si="15"/>
        <v>0.00651098901098917</v>
      </c>
      <c r="U102" s="39"/>
      <c r="V102" s="39"/>
      <c r="W102" s="42">
        <v>3</v>
      </c>
      <c r="X102" s="42">
        <f>W102*-2</f>
        <v>-6</v>
      </c>
      <c r="Y102" s="42">
        <f>X102+M102</f>
        <v>-6</v>
      </c>
    </row>
    <row r="103" spans="1:25">
      <c r="A103" s="46"/>
      <c r="B103" s="46"/>
      <c r="C103" s="11"/>
      <c r="D103" s="11"/>
      <c r="E103" s="47" t="s">
        <v>149</v>
      </c>
      <c r="F103" s="13">
        <f>SUM(F3:F102)</f>
        <v>20334.38</v>
      </c>
      <c r="G103" s="13"/>
      <c r="H103" s="13"/>
      <c r="I103" s="13"/>
      <c r="J103" s="13">
        <f>SUM(J3:J102)</f>
        <v>16457</v>
      </c>
      <c r="K103" s="13">
        <f>SUM(K3:K102)</f>
        <v>17362</v>
      </c>
      <c r="L103" s="13">
        <f>SUM(L3:L102)</f>
        <v>905</v>
      </c>
      <c r="M103" s="13">
        <f>SUM(M3:M102)</f>
        <v>-8276</v>
      </c>
      <c r="N103" s="23">
        <v>0.740314170019489</v>
      </c>
      <c r="O103" s="56" t="e">
        <v>#N/A</v>
      </c>
      <c r="P103" s="23">
        <f>R103/Q103</f>
        <v>0.7313062918685</v>
      </c>
      <c r="Q103" s="40">
        <f t="shared" ref="Q103:V103" si="18">SUM(Q3:Q102)</f>
        <v>22476910</v>
      </c>
      <c r="R103" s="40">
        <f t="shared" si="18"/>
        <v>16437505.704762</v>
      </c>
      <c r="S103" s="58">
        <v>0.7067</v>
      </c>
      <c r="T103" s="58"/>
      <c r="U103" s="13">
        <f t="shared" si="18"/>
        <v>300</v>
      </c>
      <c r="V103" s="13">
        <f t="shared" si="18"/>
        <v>300</v>
      </c>
      <c r="W103" s="42">
        <f>SUM(W3:W102)</f>
        <v>3307</v>
      </c>
      <c r="X103" s="42">
        <f>SUM(X3:X102)</f>
        <v>-6614</v>
      </c>
      <c r="Y103" s="42">
        <f>SUM(Y3:Y102)</f>
        <v>-14890</v>
      </c>
    </row>
    <row r="104" spans="16:16">
      <c r="P104" s="57"/>
    </row>
    <row r="106" spans="2:2">
      <c r="B106" s="48" t="s">
        <v>150</v>
      </c>
    </row>
    <row r="107" spans="2:2">
      <c r="B107" s="48" t="s">
        <v>151</v>
      </c>
    </row>
    <row r="108" spans="2:2">
      <c r="B108" s="48" t="s">
        <v>152</v>
      </c>
    </row>
    <row r="109" spans="2:2">
      <c r="B109" s="48" t="s">
        <v>153</v>
      </c>
    </row>
    <row r="110" spans="2:2">
      <c r="B110" s="48" t="s">
        <v>154</v>
      </c>
    </row>
    <row r="111" spans="2:2">
      <c r="B111" s="48" t="s">
        <v>155</v>
      </c>
    </row>
    <row r="112" spans="2:2">
      <c r="B112" s="49" t="s">
        <v>156</v>
      </c>
    </row>
  </sheetData>
  <mergeCells count="3">
    <mergeCell ref="J1:M1"/>
    <mergeCell ref="P1:V1"/>
    <mergeCell ref="W1:X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会员发展任务及会员消费占比任务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凉薄1416584028</cp:lastModifiedBy>
  <dcterms:created xsi:type="dcterms:W3CDTF">2018-11-05T07:35:00Z</dcterms:created>
  <dcterms:modified xsi:type="dcterms:W3CDTF">2019-01-14T08:26:55Z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