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<sst xmlns="http://schemas.openxmlformats.org/spreadsheetml/2006/main" count="30">
  <si>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</si>
  <si>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</si>
  <si>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</si>
  <si>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</si>
  <si>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</si>
  <si>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</si>
  <si>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</si>
  <si>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</si>
  <si>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</si>
  <si>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</si>
  <si>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</si>
  <si>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</si>
  <si>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</si>
  <si>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</si>
  <si>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</si>
  <si>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</si>
  <si>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</si>
  <si>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</si>
  <si>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</si>
  <si>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</si>
  <si>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</si>
  <si>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</si>
  <si>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</si>
  <si>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</si>
  <si>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</si>
  <si>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</si>
  <si>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</si>
  <si>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四川太极青羊区北东街店</t>
  </si>
  <si>
    <t>城中片区</t>
  </si>
  <si>
    <t>26.09%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</si>
</sst>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3" borderId="8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.6.26-2018.7.19%20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I18" sqref="I18"/>
    </sheetView>
  </sheetViews>
  <sheetFormatPr defaultColWidth="9" defaultRowHeight="13.5" outlineLevelRow="1"/>
  <cols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3" t="s">
        <v>10</v>
      </c>
      <c r="L1" s="6" t="s">
        <v>11</v>
      </c>
      <c r="M1" s="7" t="s">
        <v>12</v>
      </c>
      <c r="N1" s="3" t="s">
        <v>13</v>
      </c>
      <c r="O1" s="8" t="s">
        <v>14</v>
      </c>
      <c r="P1" s="6" t="s">
        <v>15</v>
      </c>
      <c r="Q1" s="8" t="s">
        <v>16</v>
      </c>
      <c r="R1" s="8" t="s">
        <v>17</v>
      </c>
      <c r="S1" s="10" t="s">
        <v>18</v>
      </c>
      <c r="T1" s="2" t="s">
        <v>19</v>
      </c>
      <c r="U1" s="11" t="s">
        <v>20</v>
      </c>
      <c r="V1" s="12" t="s">
        <v>21</v>
      </c>
      <c r="W1" s="12" t="s">
        <v>22</v>
      </c>
      <c r="X1" s="12" t="s">
        <v>23</v>
      </c>
      <c r="Y1" s="17" t="s">
        <v>24</v>
      </c>
      <c r="Z1" s="17" t="s">
        <v>25</v>
      </c>
      <c r="AA1" s="18" t="s">
        <v>26</v>
      </c>
    </row>
    <row r="2" spans="1:27">
      <c r="A2" s="4">
        <v>517</v>
      </c>
      <c r="B2" s="4" t="s">
        <v>27</v>
      </c>
      <c r="C2" s="4">
        <v>23</v>
      </c>
      <c r="D2" s="4" t="s">
        <v>28</v>
      </c>
      <c r="E2" s="4">
        <v>534957.23</v>
      </c>
      <c r="F2" s="4">
        <v>31</v>
      </c>
      <c r="G2" s="5">
        <v>17257</v>
      </c>
      <c r="H2" s="5">
        <f>G2*1.2</f>
        <v>20708.4</v>
      </c>
      <c r="I2" s="4">
        <v>482391.92</v>
      </c>
      <c r="J2" s="4">
        <f>VLOOKUP(A2,[1]Sheet1!$C$3:$D$100,2,FALSE)</f>
        <v>24</v>
      </c>
      <c r="K2" s="7">
        <f>ROUND(I2/J2,0)</f>
        <v>20100</v>
      </c>
      <c r="L2" s="9">
        <v>18000</v>
      </c>
      <c r="M2" s="5">
        <f>K2-L2</f>
        <v>2100</v>
      </c>
      <c r="N2" s="5">
        <f>G2-L2</f>
        <v>-743</v>
      </c>
      <c r="O2" s="9">
        <v>18000</v>
      </c>
      <c r="P2" s="9">
        <f>O2*31</f>
        <v>558000</v>
      </c>
      <c r="Q2" s="9">
        <f>P2*S2</f>
        <v>145582.2</v>
      </c>
      <c r="R2" s="13">
        <f>(O2-G2)/G2</f>
        <v>0.0430549921770876</v>
      </c>
      <c r="S2" s="14" t="s">
        <v>29</v>
      </c>
      <c r="T2" s="4">
        <f>VLOOKUP(A$2:A$65515,[2]查询时间段分门店销售汇总!$A:$I,8,0)</f>
        <v>84.78</v>
      </c>
      <c r="U2" s="15">
        <f>P2/T2</f>
        <v>6581.74097664543</v>
      </c>
      <c r="V2" s="16">
        <f>IF($O2&lt;=4000,$O2*1.06,IF($O2&lt;=10000,$O2*1.04,$O2*1.03))</f>
        <v>18540</v>
      </c>
      <c r="W2" s="16">
        <f>V2*31</f>
        <v>574740</v>
      </c>
      <c r="X2" s="16">
        <f>W2*S2</f>
        <v>149949.666</v>
      </c>
      <c r="Y2" s="19">
        <f>IF($O2&lt;=4000,$O2*1.12,IF($O2&lt;=10000,$O2*1.08,$O2*1.06))</f>
        <v>19080</v>
      </c>
      <c r="Z2" s="19">
        <f>Y2*31</f>
        <v>591480</v>
      </c>
      <c r="AA2" s="20">
        <f>Z2*S2</f>
        <v>154317.132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