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<sst xmlns="http://schemas.openxmlformats.org/spreadsheetml/2006/main" count="73">
  <si>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</si>
  <si>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</si>
  <si>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</si>
  <si>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</si>
  <si>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</si>
  <si>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</si>
  <si>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</si>
  <si>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</si>
  <si>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</si>
  <si>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</si>
  <si>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</si>
  <si>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</si>
  <si>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</si>
  <si>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</si>
  <si>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</si>
  <si>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</si>
  <si>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</si>
  <si>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</si>
  <si>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</si>
  <si>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</si>
  <si>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</si>
  <si>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</si>
  <si>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</si>
  <si>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</si>
  <si>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</si>
  <si>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</si>
  <si>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</si>
  <si>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四川太极武侯区顺和街店</t>
  </si>
  <si>
    <t>西北片区</t>
  </si>
  <si>
    <t>31.98%</t>
  </si>
  <si>
    <t>四川太极大药房连锁有限公司武侯区聚萃街药店</t>
  </si>
  <si>
    <t>25.94%</t>
  </si>
  <si>
    <t>四川太极新都区马超东路店</t>
  </si>
  <si>
    <t>31.4%</t>
  </si>
  <si>
    <t>四川太极西部店</t>
  </si>
  <si>
    <t>四川太极成华区二环路北四段药店（汇融名城）</t>
  </si>
  <si>
    <t>33.65%</t>
  </si>
  <si>
    <t>四川太极青羊区浣花滨河路药店</t>
  </si>
  <si>
    <t>30.55%</t>
  </si>
  <si>
    <t>四川太极清江东路药店</t>
  </si>
  <si>
    <t>27.4%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</si>
  <si>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</si>
  <si>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</si>
  <si>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</si>
  <si>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</si>
  <si>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</si>
  <si>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</si>
  <si>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</si>
  <si>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</si>
  <si>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</si>
  <si>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32.43%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</si>
  <si>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</si>
  <si>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</si>
  <si>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</si>
  <si>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</si>
  <si>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</si>
  <si>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</si>
  <si>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</si>
  <si>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</si>
  <si>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</si>
  <si>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</si>
  <si>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</si>
  <si>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</si>
  <si>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</si>
  <si>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</si>
  <si>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</si>
  <si>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银河北街</t>
  </si>
  <si>
    <t>贝森北路</t>
  </si>
  <si>
    <t>武侯区佳灵路</t>
  </si>
  <si>
    <t>西林一街</t>
  </si>
  <si>
    <t>四川太极旗舰店</t>
  </si>
  <si>
    <t>旗舰片</t>
  </si>
  <si>
    <t>30.51%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</si>
</sst>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1" fillId="34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WeChat Files\lqy369182062\Files\2018.6.26-2018.7.19 &#26597;&#35810;&#26102;&#38388;&#27573;&#20998;&#38376;&#24215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workbookViewId="0">
      <selection activeCell="D2" sqref="D2"/>
    </sheetView>
  </sheetViews>
  <sheetFormatPr defaultColWidth="9" defaultRowHeight="13.5"/>
  <cols>
    <col min="3" max="3" width="6" customWidth="1"/>
    <col min="6" max="6" width="6.75" customWidth="1"/>
  </cols>
  <sheetData>
    <row r="1" s="1" customFormat="1" ht="60" customHeight="1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6" t="s">
        <v>11</v>
      </c>
      <c r="M1" s="7" t="s">
        <v>12</v>
      </c>
      <c r="N1" s="3" t="s">
        <v>13</v>
      </c>
      <c r="O1" s="8" t="s">
        <v>14</v>
      </c>
      <c r="P1" s="6" t="s">
        <v>15</v>
      </c>
      <c r="Q1" s="8" t="s">
        <v>16</v>
      </c>
      <c r="R1" s="8" t="s">
        <v>17</v>
      </c>
      <c r="S1" s="11" t="s">
        <v>18</v>
      </c>
      <c r="T1" s="2" t="s">
        <v>19</v>
      </c>
      <c r="U1" s="12" t="s">
        <v>20</v>
      </c>
      <c r="V1" s="13" t="s">
        <v>21</v>
      </c>
      <c r="W1" s="13" t="s">
        <v>22</v>
      </c>
      <c r="X1" s="13" t="s">
        <v>23</v>
      </c>
      <c r="Y1" s="19" t="s">
        <v>24</v>
      </c>
      <c r="Z1" s="19" t="s">
        <v>25</v>
      </c>
      <c r="AA1" s="20" t="s">
        <v>26</v>
      </c>
    </row>
    <row r="2" spans="1:27">
      <c r="A2" s="4">
        <v>513</v>
      </c>
      <c r="B2" s="4" t="s">
        <v>27</v>
      </c>
      <c r="C2" s="4">
        <v>181</v>
      </c>
      <c r="D2" s="4" t="s">
        <v>28</v>
      </c>
      <c r="E2" s="4">
        <v>191755.24</v>
      </c>
      <c r="F2" s="4">
        <v>31</v>
      </c>
      <c r="G2" s="5">
        <v>6186</v>
      </c>
      <c r="H2" s="5">
        <f t="shared" ref="H2:H22" si="0">G2*1.2</f>
        <v>7423.2</v>
      </c>
      <c r="I2" s="4">
        <f>VLOOKUP(A2,[1]查询时间段分门店销售汇总!$D$1:$L$65536,9,FALSE)</f>
        <v>225946.96</v>
      </c>
      <c r="J2" s="4">
        <f>VLOOKUP(A2,[2]Sheet1!$C$3:$D$100,2,FALSE)</f>
        <v>24</v>
      </c>
      <c r="K2" s="7">
        <f t="shared" ref="K2:K24" si="1">ROUND(I2/J2,0)</f>
        <v>9414</v>
      </c>
      <c r="L2" s="9">
        <v>8500</v>
      </c>
      <c r="M2" s="5">
        <f t="shared" ref="M2:M26" si="2">K2-L2</f>
        <v>914</v>
      </c>
      <c r="N2" s="5">
        <f t="shared" ref="N2:N26" si="3">G2-L2</f>
        <v>-2314</v>
      </c>
      <c r="O2" s="9">
        <v>8500</v>
      </c>
      <c r="P2" s="9">
        <f t="shared" ref="P2:P26" si="4">O2*31</f>
        <v>263500</v>
      </c>
      <c r="Q2" s="9">
        <f t="shared" ref="Q2:Q26" si="5">P2*S2</f>
        <v>84267.3</v>
      </c>
      <c r="R2" s="14">
        <f>(O2-G2)/G2</f>
        <v>0.374070481732945</v>
      </c>
      <c r="S2" s="15" t="s">
        <v>29</v>
      </c>
      <c r="T2" s="4">
        <f>VLOOKUP(A$2:A$65540,[3]查询时间段分门店销售汇总!$A:$I,8,0)</f>
        <v>70.4</v>
      </c>
      <c r="U2" s="16">
        <f t="shared" ref="U2:U21" si="6">P2/T2</f>
        <v>3742.89772727273</v>
      </c>
      <c r="V2" s="17">
        <f t="shared" ref="V2:V26" si="7">IF($O2&lt;=4000,$O2*1.06,IF($O2&lt;=10000,$O2*1.04,$O2*1.03))</f>
        <v>8840</v>
      </c>
      <c r="W2" s="17">
        <f t="shared" ref="W2:W26" si="8">V2*31</f>
        <v>274040</v>
      </c>
      <c r="X2" s="17">
        <f t="shared" ref="X2:X26" si="9">W2*S2</f>
        <v>87637.992</v>
      </c>
      <c r="Y2" s="21">
        <f t="shared" ref="Y2:Y26" si="10">IF($O2&lt;=4000,$O2*1.12,IF($O2&lt;=10000,$O2*1.08,$O2*1.06))</f>
        <v>9180</v>
      </c>
      <c r="Z2" s="21">
        <f t="shared" ref="Z2:Z26" si="11">Y2*31</f>
        <v>284580</v>
      </c>
      <c r="AA2" s="22">
        <f t="shared" ref="AA2:AA26" si="12">Z2*S2</f>
        <v>91008.684</v>
      </c>
    </row>
    <row r="3" spans="1:27">
      <c r="A3" s="4">
        <v>752</v>
      </c>
      <c r="B3" s="4" t="s">
        <v>30</v>
      </c>
      <c r="C3" s="4">
        <v>181</v>
      </c>
      <c r="D3" s="4" t="s">
        <v>28</v>
      </c>
      <c r="E3" s="4"/>
      <c r="F3" s="4"/>
      <c r="G3" s="5"/>
      <c r="H3" s="5">
        <f t="shared" si="0"/>
        <v>0</v>
      </c>
      <c r="I3" s="4">
        <f>VLOOKUP(A3,[1]查询时间段分门店销售汇总!$D$1:$L$65536,9,FALSE)</f>
        <v>90311.11</v>
      </c>
      <c r="J3" s="4">
        <f>VLOOKUP(A3,[2]Sheet1!$C$3:$D$100,2,FALSE)</f>
        <v>24</v>
      </c>
      <c r="K3" s="7">
        <f t="shared" si="1"/>
        <v>3763</v>
      </c>
      <c r="L3" s="9">
        <v>3000</v>
      </c>
      <c r="M3" s="5">
        <f t="shared" si="2"/>
        <v>763</v>
      </c>
      <c r="N3" s="5">
        <f t="shared" si="3"/>
        <v>-3000</v>
      </c>
      <c r="O3" s="10">
        <v>3200</v>
      </c>
      <c r="P3" s="10">
        <f t="shared" si="4"/>
        <v>99200</v>
      </c>
      <c r="Q3" s="10">
        <f t="shared" si="5"/>
        <v>25732.48</v>
      </c>
      <c r="R3" s="18">
        <v>0</v>
      </c>
      <c r="S3" s="15" t="s">
        <v>31</v>
      </c>
      <c r="T3" s="4">
        <f>VLOOKUP(A$2:A$65540,[3]查询时间段分门店销售汇总!$A:$I,8,0)</f>
        <v>64.14</v>
      </c>
      <c r="U3" s="16">
        <f t="shared" si="6"/>
        <v>1546.61677580293</v>
      </c>
      <c r="V3" s="17">
        <f t="shared" si="7"/>
        <v>3392</v>
      </c>
      <c r="W3" s="17">
        <f t="shared" si="8"/>
        <v>105152</v>
      </c>
      <c r="X3" s="17">
        <f t="shared" si="9"/>
        <v>27276.4288</v>
      </c>
      <c r="Y3" s="21">
        <f t="shared" si="10"/>
        <v>3584</v>
      </c>
      <c r="Z3" s="21">
        <f t="shared" si="11"/>
        <v>111104</v>
      </c>
      <c r="AA3" s="22">
        <f t="shared" si="12"/>
        <v>28820.3776</v>
      </c>
    </row>
    <row r="4" spans="1:27">
      <c r="A4" s="4">
        <v>709</v>
      </c>
      <c r="B4" s="4" t="s">
        <v>32</v>
      </c>
      <c r="C4" s="4">
        <v>181</v>
      </c>
      <c r="D4" s="4" t="s">
        <v>28</v>
      </c>
      <c r="E4" s="4">
        <v>148563.95</v>
      </c>
      <c r="F4" s="4">
        <v>31</v>
      </c>
      <c r="G4" s="5">
        <v>4792</v>
      </c>
      <c r="H4" s="5">
        <f t="shared" si="0"/>
        <v>5750.4</v>
      </c>
      <c r="I4" s="4">
        <f>VLOOKUP(A4,[1]查询时间段分门店销售汇总!$D$1:$L$65536,9,FALSE)</f>
        <v>182380.41</v>
      </c>
      <c r="J4" s="4">
        <f>VLOOKUP(A4,[2]Sheet1!$C$3:$D$100,2,FALSE)</f>
        <v>24</v>
      </c>
      <c r="K4" s="7">
        <f t="shared" si="1"/>
        <v>7599</v>
      </c>
      <c r="L4" s="9">
        <v>7500</v>
      </c>
      <c r="M4" s="5">
        <f t="shared" si="2"/>
        <v>99</v>
      </c>
      <c r="N4" s="5">
        <f t="shared" si="3"/>
        <v>-2708</v>
      </c>
      <c r="O4" s="9">
        <v>7500</v>
      </c>
      <c r="P4" s="9">
        <f t="shared" si="4"/>
        <v>232500</v>
      </c>
      <c r="Q4" s="9">
        <f t="shared" si="5"/>
        <v>73005</v>
      </c>
      <c r="R4" s="14">
        <f t="shared" ref="R4:R21" si="13">(O4-G4)/G4</f>
        <v>0.565108514190317</v>
      </c>
      <c r="S4" s="15" t="s">
        <v>33</v>
      </c>
      <c r="T4" s="4">
        <f>VLOOKUP(A$2:A$65540,[3]查询时间段分门店销售汇总!$A:$I,8,0)</f>
        <v>73.41</v>
      </c>
      <c r="U4" s="16">
        <f t="shared" si="6"/>
        <v>3167.1434409481</v>
      </c>
      <c r="V4" s="17">
        <f t="shared" si="7"/>
        <v>7800</v>
      </c>
      <c r="W4" s="17">
        <f t="shared" si="8"/>
        <v>241800</v>
      </c>
      <c r="X4" s="17">
        <f t="shared" si="9"/>
        <v>75925.2</v>
      </c>
      <c r="Y4" s="21">
        <f t="shared" si="10"/>
        <v>8100</v>
      </c>
      <c r="Z4" s="21">
        <f t="shared" si="11"/>
        <v>251100</v>
      </c>
      <c r="AA4" s="22">
        <f t="shared" si="12"/>
        <v>78845.4</v>
      </c>
    </row>
    <row r="5" spans="1:27">
      <c r="A5" s="4">
        <v>311</v>
      </c>
      <c r="B5" s="4" t="s">
        <v>34</v>
      </c>
      <c r="C5" s="4">
        <v>181</v>
      </c>
      <c r="D5" s="4" t="s">
        <v>28</v>
      </c>
      <c r="E5" s="4">
        <v>185605.88</v>
      </c>
      <c r="F5" s="4">
        <v>31</v>
      </c>
      <c r="G5" s="5">
        <v>5987</v>
      </c>
      <c r="H5" s="5">
        <f t="shared" si="0"/>
        <v>7184.4</v>
      </c>
      <c r="I5" s="4">
        <f>VLOOKUP(A5,[1]查询时间段分门店销售汇总!$D$1:$L$65536,9,FALSE)</f>
        <v>152367.17</v>
      </c>
      <c r="J5" s="4">
        <f>VLOOKUP(A5,[2]Sheet1!$C$3:$D$100,2,FALSE)</f>
        <v>24</v>
      </c>
      <c r="K5" s="7">
        <f t="shared" si="1"/>
        <v>6349</v>
      </c>
      <c r="L5" s="9">
        <v>5500</v>
      </c>
      <c r="M5" s="5">
        <f t="shared" si="2"/>
        <v>849</v>
      </c>
      <c r="N5" s="5">
        <f t="shared" si="3"/>
        <v>487</v>
      </c>
      <c r="O5" s="9">
        <v>5500</v>
      </c>
      <c r="P5" s="9">
        <f t="shared" si="4"/>
        <v>170500</v>
      </c>
      <c r="Q5" s="9">
        <f t="shared" si="5"/>
        <v>37510</v>
      </c>
      <c r="R5" s="14">
        <f t="shared" si="13"/>
        <v>-0.081342909637548</v>
      </c>
      <c r="S5" s="15">
        <v>0.22</v>
      </c>
      <c r="T5" s="4">
        <f>VLOOKUP(A$2:A$65540,[3]查询时间段分门店销售汇总!$A:$I,8,0)</f>
        <v>216.74</v>
      </c>
      <c r="U5" s="16">
        <f t="shared" si="6"/>
        <v>786.656823844237</v>
      </c>
      <c r="V5" s="17">
        <f t="shared" si="7"/>
        <v>5720</v>
      </c>
      <c r="W5" s="17">
        <f t="shared" si="8"/>
        <v>177320</v>
      </c>
      <c r="X5" s="17">
        <f t="shared" si="9"/>
        <v>39010.4</v>
      </c>
      <c r="Y5" s="21">
        <f t="shared" si="10"/>
        <v>5940</v>
      </c>
      <c r="Z5" s="21">
        <f t="shared" si="11"/>
        <v>184140</v>
      </c>
      <c r="AA5" s="22">
        <f t="shared" si="12"/>
        <v>40510.8</v>
      </c>
    </row>
    <row r="6" spans="1:27">
      <c r="A6" s="4">
        <v>581</v>
      </c>
      <c r="B6" s="4" t="s">
        <v>35</v>
      </c>
      <c r="C6" s="4">
        <v>181</v>
      </c>
      <c r="D6" s="4" t="s">
        <v>28</v>
      </c>
      <c r="E6" s="4">
        <v>169938.99</v>
      </c>
      <c r="F6" s="4">
        <v>10</v>
      </c>
      <c r="G6" s="5">
        <v>16994</v>
      </c>
      <c r="H6" s="5">
        <f t="shared" si="0"/>
        <v>20392.8</v>
      </c>
      <c r="I6" s="4">
        <f>VLOOKUP(A6,[1]查询时间段分门店销售汇总!$D$1:$L$65536,9,FALSE)</f>
        <v>235288.37</v>
      </c>
      <c r="J6" s="4">
        <f>VLOOKUP(A6,[2]Sheet1!$C$3:$D$100,2,FALSE)</f>
        <v>24</v>
      </c>
      <c r="K6" s="7">
        <f t="shared" si="1"/>
        <v>9804</v>
      </c>
      <c r="L6" s="9">
        <v>9200</v>
      </c>
      <c r="M6" s="5">
        <f t="shared" si="2"/>
        <v>604</v>
      </c>
      <c r="N6" s="5">
        <f t="shared" si="3"/>
        <v>7794</v>
      </c>
      <c r="O6" s="10">
        <v>9500</v>
      </c>
      <c r="P6" s="10">
        <f t="shared" si="4"/>
        <v>294500</v>
      </c>
      <c r="Q6" s="10">
        <f t="shared" si="5"/>
        <v>99099.25</v>
      </c>
      <c r="R6" s="18">
        <f t="shared" si="13"/>
        <v>-0.440979169118512</v>
      </c>
      <c r="S6" s="15" t="s">
        <v>36</v>
      </c>
      <c r="T6" s="4">
        <f>VLOOKUP(A$2:A$65540,[3]查询时间段分门店销售汇总!$A:$I,8,0)</f>
        <v>63.61</v>
      </c>
      <c r="U6" s="16">
        <f t="shared" si="6"/>
        <v>4629.77519257978</v>
      </c>
      <c r="V6" s="17">
        <f t="shared" si="7"/>
        <v>9880</v>
      </c>
      <c r="W6" s="17">
        <f t="shared" si="8"/>
        <v>306280</v>
      </c>
      <c r="X6" s="17">
        <f t="shared" si="9"/>
        <v>103063.22</v>
      </c>
      <c r="Y6" s="21">
        <f t="shared" si="10"/>
        <v>10260</v>
      </c>
      <c r="Z6" s="21">
        <f t="shared" si="11"/>
        <v>318060</v>
      </c>
      <c r="AA6" s="22">
        <f t="shared" si="12"/>
        <v>107027.19</v>
      </c>
    </row>
    <row r="7" spans="1:27">
      <c r="A7" s="4">
        <v>570</v>
      </c>
      <c r="B7" s="4" t="s">
        <v>37</v>
      </c>
      <c r="C7" s="4">
        <v>181</v>
      </c>
      <c r="D7" s="4" t="s">
        <v>28</v>
      </c>
      <c r="E7" s="4">
        <v>110468.57</v>
      </c>
      <c r="F7" s="4">
        <v>31</v>
      </c>
      <c r="G7" s="5">
        <v>3564</v>
      </c>
      <c r="H7" s="5">
        <f t="shared" si="0"/>
        <v>4276.8</v>
      </c>
      <c r="I7" s="4">
        <f>VLOOKUP(A7,[1]查询时间段分门店销售汇总!$D$1:$L$65536,9,FALSE)</f>
        <v>111817.22</v>
      </c>
      <c r="J7" s="4">
        <f>VLOOKUP(A7,[2]Sheet1!$C$3:$D$100,2,FALSE)</f>
        <v>24</v>
      </c>
      <c r="K7" s="7">
        <f t="shared" si="1"/>
        <v>4659</v>
      </c>
      <c r="L7" s="9">
        <v>4600</v>
      </c>
      <c r="M7" s="5">
        <f t="shared" si="2"/>
        <v>59</v>
      </c>
      <c r="N7" s="5">
        <f t="shared" si="3"/>
        <v>-1036</v>
      </c>
      <c r="O7" s="9">
        <v>4600</v>
      </c>
      <c r="P7" s="9">
        <f t="shared" si="4"/>
        <v>142600</v>
      </c>
      <c r="Q7" s="9">
        <f t="shared" si="5"/>
        <v>43564.3</v>
      </c>
      <c r="R7" s="14">
        <f t="shared" si="13"/>
        <v>0.290684624017957</v>
      </c>
      <c r="S7" s="15" t="s">
        <v>38</v>
      </c>
      <c r="T7" s="4">
        <f>VLOOKUP(A$2:A$65540,[3]查询时间段分门店销售汇总!$A:$I,8,0)</f>
        <v>54.21</v>
      </c>
      <c r="U7" s="16">
        <f t="shared" si="6"/>
        <v>2630.51097583472</v>
      </c>
      <c r="V7" s="17">
        <f t="shared" si="7"/>
        <v>4784</v>
      </c>
      <c r="W7" s="17">
        <f t="shared" si="8"/>
        <v>148304</v>
      </c>
      <c r="X7" s="17">
        <f t="shared" si="9"/>
        <v>45306.872</v>
      </c>
      <c r="Y7" s="21">
        <f t="shared" si="10"/>
        <v>4968</v>
      </c>
      <c r="Z7" s="21">
        <f t="shared" si="11"/>
        <v>154008</v>
      </c>
      <c r="AA7" s="22">
        <f t="shared" si="12"/>
        <v>47049.444</v>
      </c>
    </row>
    <row r="8" spans="1:27">
      <c r="A8" s="4">
        <v>357</v>
      </c>
      <c r="B8" s="4" t="s">
        <v>39</v>
      </c>
      <c r="C8" s="4">
        <v>181</v>
      </c>
      <c r="D8" s="4" t="s">
        <v>28</v>
      </c>
      <c r="E8" s="4">
        <v>164115.86</v>
      </c>
      <c r="F8" s="4">
        <v>31</v>
      </c>
      <c r="G8" s="5">
        <v>5294</v>
      </c>
      <c r="H8" s="5">
        <f t="shared" si="0"/>
        <v>6352.8</v>
      </c>
      <c r="I8" s="4">
        <f>VLOOKUP(A8,[1]查询时间段分门店销售汇总!$D$1:$L$65536,9,FALSE)</f>
        <v>160608.33</v>
      </c>
      <c r="J8" s="4">
        <f>VLOOKUP(A8,[2]Sheet1!$C$3:$D$100,2,FALSE)</f>
        <v>24</v>
      </c>
      <c r="K8" s="7">
        <f t="shared" si="1"/>
        <v>6692</v>
      </c>
      <c r="L8" s="9">
        <v>6600</v>
      </c>
      <c r="M8" s="5">
        <f t="shared" si="2"/>
        <v>92</v>
      </c>
      <c r="N8" s="5">
        <f t="shared" si="3"/>
        <v>-1306</v>
      </c>
      <c r="O8" s="9">
        <v>6600</v>
      </c>
      <c r="P8" s="9">
        <f t="shared" si="4"/>
        <v>204600</v>
      </c>
      <c r="Q8" s="9">
        <f t="shared" si="5"/>
        <v>56060.4</v>
      </c>
      <c r="R8" s="14">
        <f t="shared" si="13"/>
        <v>0.246694370986022</v>
      </c>
      <c r="S8" s="15" t="s">
        <v>40</v>
      </c>
      <c r="T8" s="4">
        <f>VLOOKUP(A$2:A$65540,[3]查询时间段分门店销售汇总!$A:$I,8,0)</f>
        <v>95.41</v>
      </c>
      <c r="U8" s="16">
        <f t="shared" si="6"/>
        <v>2144.42930510429</v>
      </c>
      <c r="V8" s="17">
        <f t="shared" si="7"/>
        <v>6864</v>
      </c>
      <c r="W8" s="17">
        <f t="shared" si="8"/>
        <v>212784</v>
      </c>
      <c r="X8" s="17">
        <f t="shared" si="9"/>
        <v>58302.816</v>
      </c>
      <c r="Y8" s="21">
        <f t="shared" si="10"/>
        <v>7128</v>
      </c>
      <c r="Z8" s="21">
        <f t="shared" si="11"/>
        <v>220968</v>
      </c>
      <c r="AA8" s="22">
        <f t="shared" si="12"/>
        <v>60545.232</v>
      </c>
    </row>
    <row r="9" spans="1:27">
      <c r="A9" s="4">
        <v>379</v>
      </c>
      <c r="B9" s="4" t="s">
        <v>41</v>
      </c>
      <c r="C9" s="4">
        <v>181</v>
      </c>
      <c r="D9" s="4" t="s">
        <v>28</v>
      </c>
      <c r="E9" s="4">
        <v>140491.36</v>
      </c>
      <c r="F9" s="4">
        <v>31</v>
      </c>
      <c r="G9" s="5">
        <v>4532</v>
      </c>
      <c r="H9" s="5">
        <f t="shared" si="0"/>
        <v>5438.4</v>
      </c>
      <c r="I9" s="4">
        <f>VLOOKUP(A9,[1]查询时间段分门店销售汇总!$D$1:$L$65536,9,FALSE)</f>
        <v>145219.99</v>
      </c>
      <c r="J9" s="4">
        <f>VLOOKUP(A9,[2]Sheet1!$C$3:$D$100,2,FALSE)</f>
        <v>24</v>
      </c>
      <c r="K9" s="7">
        <f t="shared" si="1"/>
        <v>6051</v>
      </c>
      <c r="L9" s="9">
        <v>6000</v>
      </c>
      <c r="M9" s="5">
        <f t="shared" si="2"/>
        <v>51</v>
      </c>
      <c r="N9" s="5">
        <f t="shared" si="3"/>
        <v>-1468</v>
      </c>
      <c r="O9" s="9">
        <v>6000</v>
      </c>
      <c r="P9" s="9">
        <f t="shared" si="4"/>
        <v>186000</v>
      </c>
      <c r="Q9" s="9">
        <f t="shared" si="5"/>
        <v>53326.2</v>
      </c>
      <c r="R9" s="14">
        <f t="shared" si="13"/>
        <v>0.323918799646955</v>
      </c>
      <c r="S9" s="15" t="s">
        <v>42</v>
      </c>
      <c r="T9" s="4">
        <f>VLOOKUP(A$2:A$65540,[3]查询时间段分门店销售汇总!$A:$I,8,0)</f>
        <v>67.16</v>
      </c>
      <c r="U9" s="16">
        <f t="shared" si="6"/>
        <v>2769.50565812984</v>
      </c>
      <c r="V9" s="17">
        <f t="shared" si="7"/>
        <v>6240</v>
      </c>
      <c r="W9" s="17">
        <f t="shared" si="8"/>
        <v>193440</v>
      </c>
      <c r="X9" s="17">
        <f t="shared" si="9"/>
        <v>55459.248</v>
      </c>
      <c r="Y9" s="21">
        <f t="shared" si="10"/>
        <v>6480</v>
      </c>
      <c r="Z9" s="21">
        <f t="shared" si="11"/>
        <v>200880</v>
      </c>
      <c r="AA9" s="22">
        <f t="shared" si="12"/>
        <v>57592.296</v>
      </c>
    </row>
    <row r="10" spans="1:27">
      <c r="A10" s="4">
        <v>730</v>
      </c>
      <c r="B10" s="4" t="s">
        <v>43</v>
      </c>
      <c r="C10" s="4">
        <v>181</v>
      </c>
      <c r="D10" s="4" t="s">
        <v>28</v>
      </c>
      <c r="E10" s="4">
        <v>217174.6</v>
      </c>
      <c r="F10" s="4">
        <v>31</v>
      </c>
      <c r="G10" s="5">
        <v>7006</v>
      </c>
      <c r="H10" s="5">
        <f t="shared" si="0"/>
        <v>8407.2</v>
      </c>
      <c r="I10" s="4">
        <f>VLOOKUP(A10,[1]查询时间段分门店销售汇总!$D$1:$L$65536,9,FALSE)</f>
        <v>219909.21</v>
      </c>
      <c r="J10" s="4">
        <f>VLOOKUP(A10,[2]Sheet1!$C$3:$D$100,2,FALSE)</f>
        <v>24</v>
      </c>
      <c r="K10" s="7">
        <f t="shared" si="1"/>
        <v>9163</v>
      </c>
      <c r="L10" s="9">
        <v>9000</v>
      </c>
      <c r="M10" s="5">
        <f t="shared" si="2"/>
        <v>163</v>
      </c>
      <c r="N10" s="5">
        <f t="shared" si="3"/>
        <v>-1994</v>
      </c>
      <c r="O10" s="9">
        <v>9000</v>
      </c>
      <c r="P10" s="9">
        <f t="shared" si="4"/>
        <v>279000</v>
      </c>
      <c r="Q10" s="9">
        <f t="shared" si="5"/>
        <v>83421</v>
      </c>
      <c r="R10" s="14">
        <f t="shared" si="13"/>
        <v>0.284613188695404</v>
      </c>
      <c r="S10" s="15" t="s">
        <v>44</v>
      </c>
      <c r="T10" s="4">
        <f>VLOOKUP(A$2:A$65540,[3]查询时间段分门店销售汇总!$A:$I,8,0)</f>
        <v>90.04</v>
      </c>
      <c r="U10" s="16">
        <f t="shared" si="6"/>
        <v>3098.62283429587</v>
      </c>
      <c r="V10" s="17">
        <f t="shared" si="7"/>
        <v>9360</v>
      </c>
      <c r="W10" s="17">
        <f t="shared" si="8"/>
        <v>290160</v>
      </c>
      <c r="X10" s="17">
        <f t="shared" si="9"/>
        <v>86757.84</v>
      </c>
      <c r="Y10" s="21">
        <f t="shared" si="10"/>
        <v>9720</v>
      </c>
      <c r="Z10" s="21">
        <f t="shared" si="11"/>
        <v>301320</v>
      </c>
      <c r="AA10" s="22">
        <f t="shared" si="12"/>
        <v>90094.68</v>
      </c>
    </row>
    <row r="11" spans="1:27">
      <c r="A11" s="4">
        <v>343</v>
      </c>
      <c r="B11" s="4" t="s">
        <v>45</v>
      </c>
      <c r="C11" s="4">
        <v>181</v>
      </c>
      <c r="D11" s="4" t="s">
        <v>28</v>
      </c>
      <c r="E11" s="4">
        <v>472511.37</v>
      </c>
      <c r="F11" s="4">
        <v>31</v>
      </c>
      <c r="G11" s="5">
        <v>15242</v>
      </c>
      <c r="H11" s="5">
        <f t="shared" si="0"/>
        <v>18290.4</v>
      </c>
      <c r="I11" s="4">
        <f>VLOOKUP(A11,[1]查询时间段分门店销售汇总!$D$1:$L$65536,9,FALSE)</f>
        <v>488464.93</v>
      </c>
      <c r="J11" s="4">
        <f>VLOOKUP(A11,[2]Sheet1!$C$3:$D$100,2,FALSE)</f>
        <v>24</v>
      </c>
      <c r="K11" s="7">
        <f t="shared" si="1"/>
        <v>20353</v>
      </c>
      <c r="L11" s="9">
        <v>20000</v>
      </c>
      <c r="M11" s="5">
        <f t="shared" si="2"/>
        <v>353</v>
      </c>
      <c r="N11" s="5">
        <f t="shared" si="3"/>
        <v>-4758</v>
      </c>
      <c r="O11" s="9">
        <v>20000</v>
      </c>
      <c r="P11" s="9">
        <f t="shared" si="4"/>
        <v>620000</v>
      </c>
      <c r="Q11" s="9">
        <f t="shared" si="5"/>
        <v>176204</v>
      </c>
      <c r="R11" s="14">
        <f t="shared" si="13"/>
        <v>0.312163758037003</v>
      </c>
      <c r="S11" s="15" t="s">
        <v>46</v>
      </c>
      <c r="T11" s="4">
        <f>VLOOKUP(A$2:A$65540,[3]查询时间段分门店销售汇总!$A:$I,8,0)</f>
        <v>119.14</v>
      </c>
      <c r="U11" s="16">
        <f t="shared" si="6"/>
        <v>5203.96172570086</v>
      </c>
      <c r="V11" s="17">
        <f t="shared" si="7"/>
        <v>20600</v>
      </c>
      <c r="W11" s="17">
        <f t="shared" si="8"/>
        <v>638600</v>
      </c>
      <c r="X11" s="17">
        <f t="shared" si="9"/>
        <v>181490.12</v>
      </c>
      <c r="Y11" s="21">
        <f t="shared" si="10"/>
        <v>21200</v>
      </c>
      <c r="Z11" s="21">
        <f t="shared" si="11"/>
        <v>657200</v>
      </c>
      <c r="AA11" s="22">
        <f t="shared" si="12"/>
        <v>186776.24</v>
      </c>
    </row>
    <row r="12" spans="1:27">
      <c r="A12" s="4">
        <v>339</v>
      </c>
      <c r="B12" s="4" t="s">
        <v>47</v>
      </c>
      <c r="C12" s="4">
        <v>181</v>
      </c>
      <c r="D12" s="4" t="s">
        <v>28</v>
      </c>
      <c r="E12" s="4">
        <v>125120.14</v>
      </c>
      <c r="F12" s="4">
        <v>31</v>
      </c>
      <c r="G12" s="5">
        <v>4036</v>
      </c>
      <c r="H12" s="5">
        <f t="shared" si="0"/>
        <v>4843.2</v>
      </c>
      <c r="I12" s="4">
        <f>VLOOKUP(A12,[1]查询时间段分门店销售汇总!$D$1:$L$65536,9,FALSE)</f>
        <v>92005.5</v>
      </c>
      <c r="J12" s="4">
        <f>VLOOKUP(A12,[2]Sheet1!$C$3:$D$100,2,FALSE)</f>
        <v>24</v>
      </c>
      <c r="K12" s="7">
        <f t="shared" si="1"/>
        <v>3834</v>
      </c>
      <c r="L12" s="9">
        <v>4200</v>
      </c>
      <c r="M12" s="5">
        <f t="shared" si="2"/>
        <v>-366</v>
      </c>
      <c r="N12" s="5">
        <f t="shared" si="3"/>
        <v>-164</v>
      </c>
      <c r="O12" s="9">
        <v>4200</v>
      </c>
      <c r="P12" s="9">
        <f t="shared" si="4"/>
        <v>130200</v>
      </c>
      <c r="Q12" s="9">
        <f t="shared" si="5"/>
        <v>39046.98</v>
      </c>
      <c r="R12" s="14">
        <f t="shared" si="13"/>
        <v>0.0406342913776016</v>
      </c>
      <c r="S12" s="15" t="s">
        <v>48</v>
      </c>
      <c r="T12" s="4">
        <f>VLOOKUP(A$2:A$65540,[3]查询时间段分门店销售汇总!$A:$I,8,0)</f>
        <v>78.48</v>
      </c>
      <c r="U12" s="16">
        <f t="shared" si="6"/>
        <v>1659.02140672783</v>
      </c>
      <c r="V12" s="17">
        <f t="shared" si="7"/>
        <v>4368</v>
      </c>
      <c r="W12" s="17">
        <f t="shared" si="8"/>
        <v>135408</v>
      </c>
      <c r="X12" s="17">
        <f t="shared" si="9"/>
        <v>40608.8592</v>
      </c>
      <c r="Y12" s="21">
        <f t="shared" si="10"/>
        <v>4536</v>
      </c>
      <c r="Z12" s="21">
        <f t="shared" si="11"/>
        <v>140616</v>
      </c>
      <c r="AA12" s="22">
        <f t="shared" si="12"/>
        <v>42170.7384</v>
      </c>
    </row>
    <row r="13" spans="1:27">
      <c r="A13" s="4">
        <v>727</v>
      </c>
      <c r="B13" s="4" t="s">
        <v>49</v>
      </c>
      <c r="C13" s="4">
        <v>181</v>
      </c>
      <c r="D13" s="4" t="s">
        <v>28</v>
      </c>
      <c r="E13" s="4">
        <v>107708.32</v>
      </c>
      <c r="F13" s="4">
        <v>31</v>
      </c>
      <c r="G13" s="5">
        <v>3474</v>
      </c>
      <c r="H13" s="5">
        <f t="shared" si="0"/>
        <v>4168.8</v>
      </c>
      <c r="I13" s="4">
        <f>VLOOKUP(A13,[1]查询时间段分门店销售汇总!$D$1:$L$65536,9,FALSE)</f>
        <v>94237.06</v>
      </c>
      <c r="J13" s="4">
        <f>VLOOKUP(A13,[2]Sheet1!$C$3:$D$100,2,FALSE)</f>
        <v>24</v>
      </c>
      <c r="K13" s="7">
        <f t="shared" si="1"/>
        <v>3927</v>
      </c>
      <c r="L13" s="9">
        <v>4300</v>
      </c>
      <c r="M13" s="5">
        <f t="shared" si="2"/>
        <v>-373</v>
      </c>
      <c r="N13" s="5">
        <f t="shared" si="3"/>
        <v>-826</v>
      </c>
      <c r="O13" s="9">
        <v>4300</v>
      </c>
      <c r="P13" s="9">
        <f t="shared" si="4"/>
        <v>133300</v>
      </c>
      <c r="Q13" s="9">
        <f t="shared" si="5"/>
        <v>43229.19</v>
      </c>
      <c r="R13" s="14">
        <f t="shared" si="13"/>
        <v>0.237766263672999</v>
      </c>
      <c r="S13" s="15" t="s">
        <v>50</v>
      </c>
      <c r="T13" s="4">
        <f>VLOOKUP(A$2:A$65540,[3]查询时间段分门店销售汇总!$A:$I,8,0)</f>
        <v>57.49</v>
      </c>
      <c r="U13" s="16">
        <f t="shared" si="6"/>
        <v>2318.66411549835</v>
      </c>
      <c r="V13" s="17">
        <f t="shared" si="7"/>
        <v>4472</v>
      </c>
      <c r="W13" s="17">
        <f t="shared" si="8"/>
        <v>138632</v>
      </c>
      <c r="X13" s="17">
        <f t="shared" si="9"/>
        <v>44958.3576</v>
      </c>
      <c r="Y13" s="21">
        <f t="shared" si="10"/>
        <v>4644</v>
      </c>
      <c r="Z13" s="21">
        <f t="shared" si="11"/>
        <v>143964</v>
      </c>
      <c r="AA13" s="22">
        <f t="shared" si="12"/>
        <v>46687.5252</v>
      </c>
    </row>
    <row r="14" spans="1:27">
      <c r="A14" s="4">
        <v>741</v>
      </c>
      <c r="B14" s="4" t="s">
        <v>51</v>
      </c>
      <c r="C14" s="4">
        <v>181</v>
      </c>
      <c r="D14" s="4" t="s">
        <v>28</v>
      </c>
      <c r="E14" s="4">
        <v>66197.28</v>
      </c>
      <c r="F14" s="4">
        <v>31</v>
      </c>
      <c r="G14" s="5">
        <v>2135</v>
      </c>
      <c r="H14" s="5">
        <f t="shared" si="0"/>
        <v>2562</v>
      </c>
      <c r="I14" s="4">
        <f>VLOOKUP(A14,[1]查询时间段分门店销售汇总!$D$1:$L$65536,9,FALSE)</f>
        <v>57279.33</v>
      </c>
      <c r="J14" s="4">
        <f>VLOOKUP(A14,[2]Sheet1!$C$3:$D$100,2,FALSE)</f>
        <v>24</v>
      </c>
      <c r="K14" s="7">
        <f t="shared" si="1"/>
        <v>2387</v>
      </c>
      <c r="L14" s="9">
        <v>3000</v>
      </c>
      <c r="M14" s="5">
        <f t="shared" si="2"/>
        <v>-613</v>
      </c>
      <c r="N14" s="5">
        <f t="shared" si="3"/>
        <v>-865</v>
      </c>
      <c r="O14" s="9">
        <v>3000</v>
      </c>
      <c r="P14" s="9">
        <f t="shared" si="4"/>
        <v>93000</v>
      </c>
      <c r="Q14" s="9">
        <f t="shared" si="5"/>
        <v>25556.4</v>
      </c>
      <c r="R14" s="14">
        <f t="shared" si="13"/>
        <v>0.405152224824356</v>
      </c>
      <c r="S14" s="15" t="s">
        <v>52</v>
      </c>
      <c r="T14" s="4">
        <f>VLOOKUP(A$2:A$65540,[3]查询时间段分门店销售汇总!$A:$I,8,0)</f>
        <v>64.05</v>
      </c>
      <c r="U14" s="16">
        <f t="shared" si="6"/>
        <v>1451.9906323185</v>
      </c>
      <c r="V14" s="17">
        <f t="shared" si="7"/>
        <v>3180</v>
      </c>
      <c r="W14" s="17">
        <f t="shared" si="8"/>
        <v>98580</v>
      </c>
      <c r="X14" s="17">
        <f t="shared" si="9"/>
        <v>27089.784</v>
      </c>
      <c r="Y14" s="21">
        <f t="shared" si="10"/>
        <v>3360</v>
      </c>
      <c r="Z14" s="21">
        <f t="shared" si="11"/>
        <v>104160</v>
      </c>
      <c r="AA14" s="22">
        <f t="shared" si="12"/>
        <v>28623.168</v>
      </c>
    </row>
    <row r="15" spans="1:27">
      <c r="A15" s="4">
        <v>745</v>
      </c>
      <c r="B15" s="4" t="s">
        <v>53</v>
      </c>
      <c r="C15" s="4">
        <v>181</v>
      </c>
      <c r="D15" s="4" t="s">
        <v>28</v>
      </c>
      <c r="E15" s="4">
        <v>138444.36</v>
      </c>
      <c r="F15" s="4">
        <v>31</v>
      </c>
      <c r="G15" s="5">
        <v>4466</v>
      </c>
      <c r="H15" s="5">
        <f t="shared" si="0"/>
        <v>5359.2</v>
      </c>
      <c r="I15" s="4">
        <f>VLOOKUP(A15,[1]查询时间段分门店销售汇总!$D$1:$L$65536,9,FALSE)</f>
        <v>106499.62</v>
      </c>
      <c r="J15" s="4">
        <f>VLOOKUP(A15,[2]Sheet1!$C$3:$D$100,2,FALSE)</f>
        <v>24</v>
      </c>
      <c r="K15" s="7">
        <f t="shared" si="1"/>
        <v>4437</v>
      </c>
      <c r="L15" s="9">
        <v>5000</v>
      </c>
      <c r="M15" s="5">
        <f t="shared" si="2"/>
        <v>-563</v>
      </c>
      <c r="N15" s="5">
        <f t="shared" si="3"/>
        <v>-534</v>
      </c>
      <c r="O15" s="9">
        <v>5000</v>
      </c>
      <c r="P15" s="9">
        <f t="shared" si="4"/>
        <v>155000</v>
      </c>
      <c r="Q15" s="9">
        <f t="shared" si="5"/>
        <v>49848</v>
      </c>
      <c r="R15" s="14">
        <f t="shared" si="13"/>
        <v>0.119570085087326</v>
      </c>
      <c r="S15" s="15" t="s">
        <v>54</v>
      </c>
      <c r="T15" s="4">
        <f>VLOOKUP(A$2:A$65540,[3]查询时间段分门店销售汇总!$A:$I,8,0)</f>
        <v>69.98</v>
      </c>
      <c r="U15" s="16">
        <f t="shared" si="6"/>
        <v>2214.91854815662</v>
      </c>
      <c r="V15" s="17">
        <f t="shared" si="7"/>
        <v>5200</v>
      </c>
      <c r="W15" s="17">
        <f t="shared" si="8"/>
        <v>161200</v>
      </c>
      <c r="X15" s="17">
        <f t="shared" si="9"/>
        <v>51841.92</v>
      </c>
      <c r="Y15" s="21">
        <f t="shared" si="10"/>
        <v>5400</v>
      </c>
      <c r="Z15" s="21">
        <f t="shared" si="11"/>
        <v>167400</v>
      </c>
      <c r="AA15" s="22">
        <f t="shared" si="12"/>
        <v>53835.84</v>
      </c>
    </row>
    <row r="16" spans="1:27">
      <c r="A16" s="4">
        <v>359</v>
      </c>
      <c r="B16" s="4" t="s">
        <v>55</v>
      </c>
      <c r="C16" s="4">
        <v>181</v>
      </c>
      <c r="D16" s="4" t="s">
        <v>28</v>
      </c>
      <c r="E16" s="4">
        <v>187152.41</v>
      </c>
      <c r="F16" s="4">
        <v>31</v>
      </c>
      <c r="G16" s="5">
        <v>6037</v>
      </c>
      <c r="H16" s="5">
        <f t="shared" si="0"/>
        <v>7244.4</v>
      </c>
      <c r="I16" s="4">
        <f>VLOOKUP(A16,[1]查询时间段分门店销售汇总!$D$1:$L$65536,9,FALSE)</f>
        <v>205370.77</v>
      </c>
      <c r="J16" s="4">
        <f>VLOOKUP(A16,[2]Sheet1!$C$3:$D$100,2,FALSE)</f>
        <v>24</v>
      </c>
      <c r="K16" s="7">
        <f t="shared" si="1"/>
        <v>8557</v>
      </c>
      <c r="L16" s="9">
        <v>9000</v>
      </c>
      <c r="M16" s="5">
        <f t="shared" si="2"/>
        <v>-443</v>
      </c>
      <c r="N16" s="5">
        <f t="shared" si="3"/>
        <v>-2963</v>
      </c>
      <c r="O16" s="9">
        <v>9000</v>
      </c>
      <c r="P16" s="9">
        <f t="shared" si="4"/>
        <v>279000</v>
      </c>
      <c r="Q16" s="9">
        <f t="shared" si="5"/>
        <v>92321.1</v>
      </c>
      <c r="R16" s="14">
        <f t="shared" si="13"/>
        <v>0.490806692065596</v>
      </c>
      <c r="S16" s="15" t="s">
        <v>56</v>
      </c>
      <c r="T16" s="4">
        <f>VLOOKUP(A$2:A$65540,[3]查询时间段分门店销售汇总!$A:$I,8,0)</f>
        <v>66.53</v>
      </c>
      <c r="U16" s="16">
        <f t="shared" si="6"/>
        <v>4193.59687359086</v>
      </c>
      <c r="V16" s="17">
        <f t="shared" si="7"/>
        <v>9360</v>
      </c>
      <c r="W16" s="17">
        <f t="shared" si="8"/>
        <v>290160</v>
      </c>
      <c r="X16" s="17">
        <f t="shared" si="9"/>
        <v>96013.944</v>
      </c>
      <c r="Y16" s="21">
        <f t="shared" si="10"/>
        <v>9720</v>
      </c>
      <c r="Z16" s="21">
        <f t="shared" si="11"/>
        <v>301320</v>
      </c>
      <c r="AA16" s="22">
        <f t="shared" si="12"/>
        <v>99706.788</v>
      </c>
    </row>
    <row r="17" spans="1:27">
      <c r="A17" s="4">
        <v>726</v>
      </c>
      <c r="B17" s="4" t="s">
        <v>57</v>
      </c>
      <c r="C17" s="4">
        <v>181</v>
      </c>
      <c r="D17" s="4" t="s">
        <v>28</v>
      </c>
      <c r="E17" s="4">
        <v>234366.15</v>
      </c>
      <c r="F17" s="4">
        <v>31</v>
      </c>
      <c r="G17" s="5">
        <v>7560</v>
      </c>
      <c r="H17" s="5">
        <f t="shared" si="0"/>
        <v>9072</v>
      </c>
      <c r="I17" s="4">
        <f>VLOOKUP(A17,[1]查询时间段分门店销售汇总!$D$1:$L$65536,9,FALSE)</f>
        <v>204506.24</v>
      </c>
      <c r="J17" s="4">
        <f>VLOOKUP(A17,[2]Sheet1!$C$3:$D$100,2,FALSE)</f>
        <v>24</v>
      </c>
      <c r="K17" s="7">
        <f t="shared" si="1"/>
        <v>8521</v>
      </c>
      <c r="L17" s="9">
        <v>9000</v>
      </c>
      <c r="M17" s="5">
        <f t="shared" si="2"/>
        <v>-479</v>
      </c>
      <c r="N17" s="5">
        <f t="shared" si="3"/>
        <v>-1440</v>
      </c>
      <c r="O17" s="9">
        <v>9000</v>
      </c>
      <c r="P17" s="9">
        <f t="shared" si="4"/>
        <v>279000</v>
      </c>
      <c r="Q17" s="9">
        <f t="shared" si="5"/>
        <v>90898.2</v>
      </c>
      <c r="R17" s="14">
        <f t="shared" si="13"/>
        <v>0.19047619047619</v>
      </c>
      <c r="S17" s="15" t="s">
        <v>58</v>
      </c>
      <c r="T17" s="4">
        <f>VLOOKUP(A$2:A$65540,[3]查询时间段分门店销售汇总!$A:$I,8,0)</f>
        <v>73.43</v>
      </c>
      <c r="U17" s="16">
        <f t="shared" si="6"/>
        <v>3799.53697398883</v>
      </c>
      <c r="V17" s="17">
        <f t="shared" si="7"/>
        <v>9360</v>
      </c>
      <c r="W17" s="17">
        <f t="shared" si="8"/>
        <v>290160</v>
      </c>
      <c r="X17" s="17">
        <f t="shared" si="9"/>
        <v>94534.128</v>
      </c>
      <c r="Y17" s="21">
        <f t="shared" si="10"/>
        <v>9720</v>
      </c>
      <c r="Z17" s="21">
        <f t="shared" si="11"/>
        <v>301320</v>
      </c>
      <c r="AA17" s="22">
        <f t="shared" si="12"/>
        <v>98170.056</v>
      </c>
    </row>
    <row r="18" spans="1:27">
      <c r="A18" s="4">
        <v>582</v>
      </c>
      <c r="B18" s="4" t="s">
        <v>59</v>
      </c>
      <c r="C18" s="4">
        <v>181</v>
      </c>
      <c r="D18" s="4" t="s">
        <v>28</v>
      </c>
      <c r="E18" s="4">
        <v>521046.23</v>
      </c>
      <c r="F18" s="4">
        <v>31</v>
      </c>
      <c r="G18" s="5">
        <v>16808</v>
      </c>
      <c r="H18" s="5">
        <f t="shared" si="0"/>
        <v>20169.6</v>
      </c>
      <c r="I18" s="4">
        <f>VLOOKUP(A18,[1]查询时间段分门店销售汇总!$D$1:$L$65536,9,FALSE)</f>
        <v>590773.29</v>
      </c>
      <c r="J18" s="4">
        <f>VLOOKUP(A18,[2]Sheet1!$C$3:$D$100,2,FALSE)</f>
        <v>24</v>
      </c>
      <c r="K18" s="7">
        <f t="shared" si="1"/>
        <v>24616</v>
      </c>
      <c r="L18" s="9">
        <v>25000</v>
      </c>
      <c r="M18" s="5">
        <f t="shared" si="2"/>
        <v>-384</v>
      </c>
      <c r="N18" s="5">
        <f t="shared" si="3"/>
        <v>-8192</v>
      </c>
      <c r="O18" s="9">
        <v>25000</v>
      </c>
      <c r="P18" s="9">
        <f t="shared" si="4"/>
        <v>775000</v>
      </c>
      <c r="Q18" s="9">
        <f t="shared" si="5"/>
        <v>196772.5</v>
      </c>
      <c r="R18" s="14">
        <f t="shared" si="13"/>
        <v>0.487386958591147</v>
      </c>
      <c r="S18" s="15" t="s">
        <v>60</v>
      </c>
      <c r="T18" s="4">
        <f>VLOOKUP(A$2:A$65540,[3]查询时间段分门店销售汇总!$A:$I,8,0)</f>
        <v>126.72</v>
      </c>
      <c r="U18" s="16">
        <f t="shared" si="6"/>
        <v>6115.84595959596</v>
      </c>
      <c r="V18" s="17">
        <f t="shared" si="7"/>
        <v>25750</v>
      </c>
      <c r="W18" s="17">
        <f t="shared" si="8"/>
        <v>798250</v>
      </c>
      <c r="X18" s="17">
        <f t="shared" si="9"/>
        <v>202675.675</v>
      </c>
      <c r="Y18" s="21">
        <f t="shared" si="10"/>
        <v>26500</v>
      </c>
      <c r="Z18" s="21">
        <f t="shared" si="11"/>
        <v>821500</v>
      </c>
      <c r="AA18" s="22">
        <f t="shared" si="12"/>
        <v>208578.85</v>
      </c>
    </row>
    <row r="19" spans="1:27">
      <c r="A19" s="4">
        <v>347</v>
      </c>
      <c r="B19" s="4" t="s">
        <v>61</v>
      </c>
      <c r="C19" s="4">
        <v>181</v>
      </c>
      <c r="D19" s="4" t="s">
        <v>28</v>
      </c>
      <c r="E19" s="4">
        <v>130657.17</v>
      </c>
      <c r="F19" s="4">
        <v>31</v>
      </c>
      <c r="G19" s="5">
        <v>4215</v>
      </c>
      <c r="H19" s="5">
        <f t="shared" si="0"/>
        <v>5058</v>
      </c>
      <c r="I19" s="4">
        <f>VLOOKUP(A19,[1]查询时间段分门店销售汇总!$D$1:$L$65536,9,FALSE)</f>
        <v>118177.94</v>
      </c>
      <c r="J19" s="4">
        <f>VLOOKUP(A19,[2]Sheet1!$C$3:$D$100,2,FALSE)</f>
        <v>24</v>
      </c>
      <c r="K19" s="7">
        <f t="shared" si="1"/>
        <v>4924</v>
      </c>
      <c r="L19" s="9">
        <v>5000</v>
      </c>
      <c r="M19" s="5">
        <f t="shared" si="2"/>
        <v>-76</v>
      </c>
      <c r="N19" s="5">
        <f t="shared" si="3"/>
        <v>-785</v>
      </c>
      <c r="O19" s="9">
        <v>5000</v>
      </c>
      <c r="P19" s="9">
        <f t="shared" si="4"/>
        <v>155000</v>
      </c>
      <c r="Q19" s="9">
        <f t="shared" si="5"/>
        <v>49848</v>
      </c>
      <c r="R19" s="14">
        <f t="shared" si="13"/>
        <v>0.186239620403321</v>
      </c>
      <c r="S19" s="15" t="s">
        <v>54</v>
      </c>
      <c r="T19" s="4">
        <f>VLOOKUP(A$2:A$65540,[3]查询时间段分门店销售汇总!$A:$I,8,0)</f>
        <v>76.78</v>
      </c>
      <c r="U19" s="16">
        <f t="shared" si="6"/>
        <v>2018.7548840844</v>
      </c>
      <c r="V19" s="17">
        <f t="shared" si="7"/>
        <v>5200</v>
      </c>
      <c r="W19" s="17">
        <f t="shared" si="8"/>
        <v>161200</v>
      </c>
      <c r="X19" s="17">
        <f t="shared" si="9"/>
        <v>51841.92</v>
      </c>
      <c r="Y19" s="21">
        <f t="shared" si="10"/>
        <v>5400</v>
      </c>
      <c r="Z19" s="21">
        <f t="shared" si="11"/>
        <v>167400</v>
      </c>
      <c r="AA19" s="22">
        <f t="shared" si="12"/>
        <v>53835.84</v>
      </c>
    </row>
    <row r="20" spans="1:27">
      <c r="A20" s="4">
        <v>365</v>
      </c>
      <c r="B20" s="4" t="s">
        <v>62</v>
      </c>
      <c r="C20" s="4">
        <v>181</v>
      </c>
      <c r="D20" s="4" t="s">
        <v>28</v>
      </c>
      <c r="E20" s="4">
        <v>239688.57</v>
      </c>
      <c r="F20" s="4">
        <v>31</v>
      </c>
      <c r="G20" s="5">
        <v>7732</v>
      </c>
      <c r="H20" s="5">
        <f t="shared" si="0"/>
        <v>9278.4</v>
      </c>
      <c r="I20" s="4">
        <f>VLOOKUP(A20,[1]查询时间段分门店销售汇总!$D$1:$L$65536,9,FALSE)</f>
        <v>201959.48</v>
      </c>
      <c r="J20" s="4">
        <f>VLOOKUP(A20,[2]Sheet1!$C$3:$D$100,2,FALSE)</f>
        <v>24</v>
      </c>
      <c r="K20" s="7">
        <f t="shared" si="1"/>
        <v>8415</v>
      </c>
      <c r="L20" s="9">
        <v>9800</v>
      </c>
      <c r="M20" s="5">
        <f t="shared" si="2"/>
        <v>-1385</v>
      </c>
      <c r="N20" s="5">
        <f t="shared" si="3"/>
        <v>-2068</v>
      </c>
      <c r="O20" s="9">
        <v>9800</v>
      </c>
      <c r="P20" s="9">
        <f t="shared" si="4"/>
        <v>303800</v>
      </c>
      <c r="Q20" s="9">
        <f t="shared" si="5"/>
        <v>98552.72</v>
      </c>
      <c r="R20" s="14">
        <f t="shared" si="13"/>
        <v>0.267459906880497</v>
      </c>
      <c r="S20" s="15" t="s">
        <v>63</v>
      </c>
      <c r="T20" s="4">
        <f>VLOOKUP(A$2:A$65540,[3]查询时间段分门店销售汇总!$A:$I,8,0)</f>
        <v>75.33</v>
      </c>
      <c r="U20" s="16">
        <f t="shared" si="6"/>
        <v>4032.92181069959</v>
      </c>
      <c r="V20" s="17">
        <f t="shared" si="7"/>
        <v>10192</v>
      </c>
      <c r="W20" s="17">
        <f t="shared" si="8"/>
        <v>315952</v>
      </c>
      <c r="X20" s="17">
        <f t="shared" si="9"/>
        <v>102494.8288</v>
      </c>
      <c r="Y20" s="21">
        <f t="shared" si="10"/>
        <v>10584</v>
      </c>
      <c r="Z20" s="21">
        <f t="shared" si="11"/>
        <v>328104</v>
      </c>
      <c r="AA20" s="22">
        <f t="shared" si="12"/>
        <v>106436.9376</v>
      </c>
    </row>
    <row r="21" spans="1:27">
      <c r="A21" s="5">
        <v>585</v>
      </c>
      <c r="B21" s="4" t="s">
        <v>64</v>
      </c>
      <c r="C21" s="5">
        <v>181</v>
      </c>
      <c r="D21" s="4" t="s">
        <v>28</v>
      </c>
      <c r="E21" s="4">
        <v>261368.73</v>
      </c>
      <c r="F21" s="4">
        <v>31</v>
      </c>
      <c r="G21" s="5">
        <v>8431</v>
      </c>
      <c r="H21" s="5">
        <f t="shared" si="0"/>
        <v>10117.2</v>
      </c>
      <c r="I21" s="4">
        <f>VLOOKUP(A21,[1]查询时间段分门店销售汇总!$D$1:$L$65536,9,FALSE)</f>
        <v>117907.02</v>
      </c>
      <c r="J21" s="4">
        <f>VLOOKUP(A21,[2]Sheet1!$C$3:$D$100,2,FALSE)</f>
        <v>24</v>
      </c>
      <c r="K21" s="7">
        <f t="shared" si="1"/>
        <v>4913</v>
      </c>
      <c r="L21" s="9">
        <v>9600</v>
      </c>
      <c r="M21" s="5">
        <f t="shared" si="2"/>
        <v>-4687</v>
      </c>
      <c r="N21" s="5">
        <f t="shared" si="3"/>
        <v>-1169</v>
      </c>
      <c r="O21" s="9">
        <v>9600</v>
      </c>
      <c r="P21" s="9">
        <f t="shared" si="4"/>
        <v>297600</v>
      </c>
      <c r="Q21" s="9">
        <f t="shared" si="5"/>
        <v>93476.16</v>
      </c>
      <c r="R21" s="14">
        <f t="shared" si="13"/>
        <v>0.138654963823983</v>
      </c>
      <c r="S21" s="15" t="s">
        <v>65</v>
      </c>
      <c r="T21" s="4">
        <f>VLOOKUP(A$2:A$65540,[3]查询时间段分门店销售汇总!$A:$I,8,0)</f>
        <v>79.44</v>
      </c>
      <c r="U21" s="16">
        <f t="shared" si="6"/>
        <v>3746.22356495468</v>
      </c>
      <c r="V21" s="17">
        <f t="shared" si="7"/>
        <v>9984</v>
      </c>
      <c r="W21" s="17">
        <f t="shared" si="8"/>
        <v>309504</v>
      </c>
      <c r="X21" s="17">
        <f t="shared" si="9"/>
        <v>97215.2064</v>
      </c>
      <c r="Y21" s="21">
        <f t="shared" si="10"/>
        <v>10368</v>
      </c>
      <c r="Z21" s="21">
        <f t="shared" si="11"/>
        <v>321408</v>
      </c>
      <c r="AA21" s="22">
        <f t="shared" si="12"/>
        <v>100954.2528</v>
      </c>
    </row>
    <row r="22" spans="1:27">
      <c r="A22" s="4">
        <v>102934</v>
      </c>
      <c r="B22" s="4" t="s">
        <v>66</v>
      </c>
      <c r="C22" s="4"/>
      <c r="D22" s="4" t="s">
        <v>28</v>
      </c>
      <c r="E22" s="4"/>
      <c r="F22" s="4"/>
      <c r="G22" s="5"/>
      <c r="H22" s="5">
        <f t="shared" si="0"/>
        <v>0</v>
      </c>
      <c r="I22" s="4">
        <f>VLOOKUP(A22,[1]查询时间段分门店销售汇总!$D$1:$L$65536,9,FALSE)</f>
        <v>62183.45</v>
      </c>
      <c r="J22" s="4">
        <f>VLOOKUP(A22,[2]Sheet1!$C$3:$D$100,2,FALSE)</f>
        <v>24</v>
      </c>
      <c r="K22" s="7">
        <f t="shared" si="1"/>
        <v>2591</v>
      </c>
      <c r="L22" s="9">
        <v>3500</v>
      </c>
      <c r="M22" s="5">
        <f t="shared" si="2"/>
        <v>-909</v>
      </c>
      <c r="N22" s="5">
        <f t="shared" si="3"/>
        <v>-3500</v>
      </c>
      <c r="O22" s="10">
        <v>4600</v>
      </c>
      <c r="P22" s="10">
        <f t="shared" si="4"/>
        <v>142600</v>
      </c>
      <c r="Q22" s="10">
        <f t="shared" si="5"/>
        <v>44206</v>
      </c>
      <c r="R22" s="18"/>
      <c r="S22" s="15">
        <v>0.31</v>
      </c>
      <c r="T22" s="4" t="e">
        <f>VLOOKUP(A$2:A$65540,[3]查询时间段分门店销售汇总!$A:$I,8,0)</f>
        <v>#N/A</v>
      </c>
      <c r="U22" s="16">
        <v>0</v>
      </c>
      <c r="V22" s="17">
        <f t="shared" si="7"/>
        <v>4784</v>
      </c>
      <c r="W22" s="17">
        <f t="shared" si="8"/>
        <v>148304</v>
      </c>
      <c r="X22" s="17">
        <f t="shared" si="9"/>
        <v>45974.24</v>
      </c>
      <c r="Y22" s="21">
        <f t="shared" si="10"/>
        <v>4968</v>
      </c>
      <c r="Z22" s="21">
        <f t="shared" si="11"/>
        <v>154008</v>
      </c>
      <c r="AA22" s="22">
        <f t="shared" si="12"/>
        <v>47742.48</v>
      </c>
    </row>
    <row r="23" spans="1:27">
      <c r="A23" s="4">
        <v>103198</v>
      </c>
      <c r="B23" s="4" t="s">
        <v>67</v>
      </c>
      <c r="C23" s="4"/>
      <c r="D23" s="4" t="s">
        <v>28</v>
      </c>
      <c r="E23" s="4"/>
      <c r="F23" s="4"/>
      <c r="G23" s="5"/>
      <c r="H23" s="5"/>
      <c r="I23" s="4"/>
      <c r="J23" s="4">
        <f>VLOOKUP(A23,[2]Sheet1!$C$3:$D$100,2,FALSE)</f>
        <v>24</v>
      </c>
      <c r="K23" s="7">
        <f t="shared" si="1"/>
        <v>0</v>
      </c>
      <c r="L23" s="9">
        <v>3000</v>
      </c>
      <c r="M23" s="5">
        <f t="shared" si="2"/>
        <v>-3000</v>
      </c>
      <c r="N23" s="5">
        <f t="shared" si="3"/>
        <v>-3000</v>
      </c>
      <c r="O23" s="10">
        <v>4000</v>
      </c>
      <c r="P23" s="10">
        <f t="shared" si="4"/>
        <v>124000</v>
      </c>
      <c r="Q23" s="10">
        <f t="shared" si="5"/>
        <v>38440</v>
      </c>
      <c r="R23" s="18"/>
      <c r="S23" s="15">
        <v>0.31</v>
      </c>
      <c r="T23" s="4"/>
      <c r="U23" s="16"/>
      <c r="V23" s="17">
        <f t="shared" si="7"/>
        <v>4240</v>
      </c>
      <c r="W23" s="17">
        <f t="shared" si="8"/>
        <v>131440</v>
      </c>
      <c r="X23" s="17">
        <f t="shared" si="9"/>
        <v>40746.4</v>
      </c>
      <c r="Y23" s="21">
        <f t="shared" si="10"/>
        <v>4480</v>
      </c>
      <c r="Z23" s="21">
        <f t="shared" si="11"/>
        <v>138880</v>
      </c>
      <c r="AA23" s="22">
        <f t="shared" si="12"/>
        <v>43052.8</v>
      </c>
    </row>
    <row r="24" spans="1:27">
      <c r="A24" s="5">
        <v>102565</v>
      </c>
      <c r="B24" s="4" t="s">
        <v>68</v>
      </c>
      <c r="C24" s="5"/>
      <c r="D24" s="4" t="s">
        <v>28</v>
      </c>
      <c r="E24" s="4"/>
      <c r="F24" s="4"/>
      <c r="G24" s="5"/>
      <c r="H24" s="5">
        <f>G24*1.2</f>
        <v>0</v>
      </c>
      <c r="I24" s="4">
        <f>VLOOKUP(A24,[1]查询时间段分门店销售汇总!$D$1:$L$65536,9,FALSE)</f>
        <v>88650.52</v>
      </c>
      <c r="J24" s="4">
        <f>VLOOKUP(A24,[2]Sheet1!$C$3:$D$100,2,FALSE)</f>
        <v>24</v>
      </c>
      <c r="K24" s="7">
        <f t="shared" si="1"/>
        <v>3694</v>
      </c>
      <c r="L24" s="9">
        <v>3000</v>
      </c>
      <c r="M24" s="5">
        <f t="shared" si="2"/>
        <v>694</v>
      </c>
      <c r="N24" s="5">
        <f t="shared" si="3"/>
        <v>-3000</v>
      </c>
      <c r="O24" s="10">
        <v>3500</v>
      </c>
      <c r="P24" s="10">
        <f t="shared" si="4"/>
        <v>108500</v>
      </c>
      <c r="Q24" s="10">
        <f t="shared" si="5"/>
        <v>33635</v>
      </c>
      <c r="R24" s="18"/>
      <c r="S24" s="15">
        <v>0.31</v>
      </c>
      <c r="T24" s="4" t="e">
        <f>VLOOKUP(A$2:A$65540,[3]查询时间段分门店销售汇总!$A:$I,8,0)</f>
        <v>#N/A</v>
      </c>
      <c r="U24" s="16">
        <v>0</v>
      </c>
      <c r="V24" s="17">
        <f t="shared" si="7"/>
        <v>3710</v>
      </c>
      <c r="W24" s="17">
        <f t="shared" si="8"/>
        <v>115010</v>
      </c>
      <c r="X24" s="17">
        <f t="shared" si="9"/>
        <v>35653.1</v>
      </c>
      <c r="Y24" s="21">
        <f t="shared" si="10"/>
        <v>3920</v>
      </c>
      <c r="Z24" s="21">
        <f t="shared" si="11"/>
        <v>121520</v>
      </c>
      <c r="AA24" s="22">
        <f t="shared" si="12"/>
        <v>37671.2</v>
      </c>
    </row>
    <row r="25" spans="1:27">
      <c r="A25" s="5"/>
      <c r="B25" s="4" t="s">
        <v>69</v>
      </c>
      <c r="C25" s="5"/>
      <c r="D25" s="4" t="s">
        <v>28</v>
      </c>
      <c r="E25" s="4"/>
      <c r="F25" s="4"/>
      <c r="G25" s="5"/>
      <c r="H25" s="5"/>
      <c r="I25" s="4"/>
      <c r="J25" s="4"/>
      <c r="K25" s="7"/>
      <c r="L25" s="9"/>
      <c r="M25" s="5"/>
      <c r="N25" s="5"/>
      <c r="O25" s="10">
        <v>2600</v>
      </c>
      <c r="P25" s="10">
        <f t="shared" si="4"/>
        <v>80600</v>
      </c>
      <c r="Q25" s="10">
        <f t="shared" si="5"/>
        <v>24986</v>
      </c>
      <c r="R25" s="18"/>
      <c r="S25" s="15">
        <v>0.31</v>
      </c>
      <c r="T25" s="4"/>
      <c r="U25" s="16"/>
      <c r="V25" s="17">
        <f t="shared" si="7"/>
        <v>2756</v>
      </c>
      <c r="W25" s="17">
        <f t="shared" si="8"/>
        <v>85436</v>
      </c>
      <c r="X25" s="17">
        <f t="shared" si="9"/>
        <v>26485.16</v>
      </c>
      <c r="Y25" s="21">
        <f t="shared" si="10"/>
        <v>2912</v>
      </c>
      <c r="Z25" s="21">
        <f t="shared" si="11"/>
        <v>90272</v>
      </c>
      <c r="AA25" s="22">
        <f t="shared" si="12"/>
        <v>27984.32</v>
      </c>
    </row>
    <row r="26" spans="1:27">
      <c r="A26" s="4">
        <v>307</v>
      </c>
      <c r="B26" s="4" t="s">
        <v>70</v>
      </c>
      <c r="C26" s="4">
        <v>142</v>
      </c>
      <c r="D26" s="4" t="s">
        <v>71</v>
      </c>
      <c r="E26" s="4">
        <v>1481610.14</v>
      </c>
      <c r="F26" s="4">
        <v>31</v>
      </c>
      <c r="G26" s="5">
        <v>47794</v>
      </c>
      <c r="H26" s="5">
        <f>G26*1.2</f>
        <v>57352.8</v>
      </c>
      <c r="I26" s="4">
        <f>VLOOKUP(A26,[1]查询时间段分门店销售汇总!$D$1:$L$65536,9,FALSE)</f>
        <v>1349030.66</v>
      </c>
      <c r="J26" s="4">
        <f>VLOOKUP(A26,[2]Sheet1!$C$3:$D$100,2,FALSE)</f>
        <v>24</v>
      </c>
      <c r="K26" s="7">
        <f>ROUND(I26/J26,0)</f>
        <v>56210</v>
      </c>
      <c r="L26" s="9">
        <v>67500</v>
      </c>
      <c r="M26" s="5">
        <f t="shared" si="2"/>
        <v>-11290</v>
      </c>
      <c r="N26" s="5">
        <f t="shared" si="3"/>
        <v>-19706</v>
      </c>
      <c r="O26" s="9">
        <v>67500</v>
      </c>
      <c r="P26" s="9">
        <f t="shared" si="4"/>
        <v>2092500</v>
      </c>
      <c r="Q26" s="9">
        <f t="shared" si="5"/>
        <v>638421.75</v>
      </c>
      <c r="R26" s="14">
        <f>(O26-G26)/G26</f>
        <v>0.412311168765954</v>
      </c>
      <c r="S26" s="15" t="s">
        <v>72</v>
      </c>
      <c r="T26" s="4">
        <f>VLOOKUP(A$2:A$65540,[3]查询时间段分门店销售汇总!$A:$I,8,0)</f>
        <v>142.31</v>
      </c>
      <c r="U26" s="16">
        <f>P26/T26</f>
        <v>14703.8156138009</v>
      </c>
      <c r="V26" s="17">
        <f t="shared" si="7"/>
        <v>69525</v>
      </c>
      <c r="W26" s="17">
        <f t="shared" si="8"/>
        <v>2155275</v>
      </c>
      <c r="X26" s="17">
        <f t="shared" si="9"/>
        <v>657574.4025</v>
      </c>
      <c r="Y26" s="21">
        <f t="shared" si="10"/>
        <v>71550</v>
      </c>
      <c r="Z26" s="21">
        <f t="shared" si="11"/>
        <v>2218050</v>
      </c>
      <c r="AA26" s="22">
        <f t="shared" si="12"/>
        <v>676727.055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2018-07-25T10:26:00Z</dcterms:created>
  <dcterms:modified xsi:type="dcterms:W3CDTF">2018-07-26T07:04:32Z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