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0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<sst xmlns="http://schemas.openxmlformats.org/spreadsheetml/2006/main" count="110">
  <si>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</si>
  <si>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</si>
  <si>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</si>
  <si>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</si>
  <si>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</si>
  <si>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</si>
  <si>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</si>
  <si>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</si>
  <si>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</si>
  <si>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</si>
  <si>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</si>
  <si>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</si>
  <si>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</si>
  <si>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</si>
  <si>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</si>
  <si>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</si>
  <si>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</si>
  <si>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</si>
  <si>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</si>
  <si>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</si>
  <si>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</si>
  <si>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</si>
  <si>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</si>
  <si>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</si>
  <si>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</si>
  <si>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</si>
  <si>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</si>
  <si>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</si>
  <si>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</si>
  <si>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</si>
  <si>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龙泉驿区驿生路药店</t>
  </si>
  <si>
    <t>城中片区</t>
  </si>
  <si>
    <t>26.24%</t>
  </si>
  <si>
    <t>300-500</t>
  </si>
  <si>
    <t>工商银行</t>
  </si>
  <si>
    <t>步行</t>
  </si>
  <si>
    <t>1-2小时</t>
  </si>
  <si>
    <t>否</t>
  </si>
  <si>
    <t>郫筒东大街店</t>
  </si>
  <si>
    <t>30.98%</t>
  </si>
  <si>
    <t>1800元</t>
  </si>
  <si>
    <t>民生银行</t>
  </si>
  <si>
    <t>500米</t>
  </si>
  <si>
    <t>公交车</t>
  </si>
  <si>
    <t>2小时</t>
  </si>
  <si>
    <t>能</t>
  </si>
  <si>
    <t>节假日银行下班很早，并且排队要3小时左右</t>
  </si>
  <si>
    <t>锦江区柳翠路药店</t>
  </si>
  <si>
    <t>32.81%</t>
  </si>
  <si>
    <t>农商银行</t>
  </si>
  <si>
    <t>1000米</t>
  </si>
  <si>
    <t>30分钟</t>
  </si>
  <si>
    <t>成华杉板桥南一路店</t>
  </si>
  <si>
    <t>31.72%</t>
  </si>
  <si>
    <t>1000左右</t>
  </si>
  <si>
    <t>成都农商银行</t>
  </si>
  <si>
    <t>3公里</t>
  </si>
  <si>
    <t>步行或骑车</t>
  </si>
  <si>
    <t>1小时</t>
  </si>
  <si>
    <t>崔家店路药店</t>
  </si>
  <si>
    <t>30.41%</t>
  </si>
  <si>
    <t>1500元</t>
  </si>
  <si>
    <t>2.5千米</t>
  </si>
  <si>
    <t>乘车</t>
  </si>
  <si>
    <t>一个半小时</t>
  </si>
  <si>
    <t>不能</t>
  </si>
  <si>
    <t>华油路药店</t>
  </si>
  <si>
    <t>34.75%</t>
  </si>
  <si>
    <t>1200元</t>
  </si>
  <si>
    <t>240米</t>
  </si>
  <si>
    <t>半小时</t>
  </si>
  <si>
    <t>通盈街药店</t>
  </si>
  <si>
    <t>32.57%</t>
  </si>
  <si>
    <t>1000m</t>
  </si>
  <si>
    <t>半个多小时</t>
  </si>
  <si>
    <t>双林路药店</t>
  </si>
  <si>
    <t>成都农商银行洞子口支行</t>
  </si>
  <si>
    <t>0.5-1小时</t>
  </si>
  <si>
    <t>郫筒镇一环路东南段药店</t>
  </si>
  <si>
    <t>工商银行红星支行</t>
  </si>
  <si>
    <t>800米</t>
  </si>
  <si>
    <t>浆洗街药店</t>
  </si>
  <si>
    <t>28.38%</t>
  </si>
  <si>
    <t>光大，周末民生</t>
  </si>
  <si>
    <t>1000m/2500m</t>
  </si>
  <si>
    <t>步行/乘车</t>
  </si>
  <si>
    <t>1h/1h</t>
  </si>
  <si>
    <t>人民中路店</t>
  </si>
  <si>
    <t>33.36%</t>
  </si>
  <si>
    <t>1700元</t>
  </si>
  <si>
    <t>光大银行</t>
  </si>
  <si>
    <t>金丝街药店</t>
  </si>
  <si>
    <t>34.16%</t>
  </si>
  <si>
    <t>45分钟</t>
  </si>
  <si>
    <t>锦江区庆云南街药店</t>
  </si>
  <si>
    <t>28.04%</t>
  </si>
  <si>
    <t>3000左右</t>
  </si>
  <si>
    <t>10分钟</t>
  </si>
  <si>
    <t>30分钟-1小时</t>
  </si>
  <si>
    <t>青羊区北东街店</t>
  </si>
  <si>
    <t>32.94%</t>
  </si>
  <si>
    <t>建设银行</t>
  </si>
  <si>
    <t>200m</t>
  </si>
  <si>
    <t>40分钟</t>
  </si>
  <si>
    <t>红星店</t>
  </si>
  <si>
    <t>34.14%</t>
  </si>
  <si>
    <t>武侯区科华街药店</t>
  </si>
  <si>
    <t>26.16%</t>
  </si>
  <si>
    <t>交通银行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</si>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</sst>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9"/>
      <name val="Arial"/>
      <charset val="134"/>
    </font>
    <font>
      <b/>
      <sz val="9"/>
      <name val="Arial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53" applyNumberFormat="1" applyFont="1" applyFill="1" applyBorder="1" applyAlignment="1">
      <alignment horizontal="center" wrapText="1"/>
    </xf>
    <xf numFmtId="0" fontId="3" fillId="0" borderId="1" xfId="53" applyFont="1" applyFill="1" applyBorder="1" applyAlignment="1">
      <alignment horizontal="center"/>
    </xf>
    <xf numFmtId="177" fontId="6" fillId="0" borderId="1" xfId="53" applyNumberFormat="1" applyFont="1" applyFill="1" applyBorder="1" applyAlignment="1">
      <alignment horizontal="center"/>
    </xf>
    <xf numFmtId="0" fontId="6" fillId="0" borderId="1" xfId="51" applyFont="1" applyFill="1" applyBorder="1" applyAlignment="1">
      <alignment horizontal="center"/>
    </xf>
    <xf numFmtId="0" fontId="6" fillId="0" borderId="1" xfId="51" applyFont="1" applyFill="1" applyBorder="1" applyAlignment="1">
      <alignment horizontal="center"/>
    </xf>
    <xf numFmtId="0" fontId="6" fillId="0" borderId="1" xfId="53" applyFont="1" applyFill="1" applyBorder="1" applyAlignment="1">
      <alignment horizontal="center"/>
    </xf>
    <xf numFmtId="0" fontId="3" fillId="0" borderId="1" xfId="53" applyFont="1" applyFill="1" applyBorder="1" applyAlignment="1">
      <alignment horizontal="center"/>
    </xf>
    <xf numFmtId="177" fontId="6" fillId="0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center"/>
    </xf>
    <xf numFmtId="177" fontId="7" fillId="0" borderId="1" xfId="53" applyNumberFormat="1" applyFont="1" applyFill="1" applyBorder="1" applyAlignment="1">
      <alignment horizontal="center"/>
    </xf>
    <xf numFmtId="0" fontId="7" fillId="0" borderId="1" xfId="51" applyFont="1" applyFill="1" applyBorder="1" applyAlignment="1">
      <alignment horizontal="center"/>
    </xf>
    <xf numFmtId="0" fontId="7" fillId="0" borderId="1" xfId="51" applyFont="1" applyFill="1" applyBorder="1" applyAlignment="1">
      <alignment horizontal="center"/>
    </xf>
    <xf numFmtId="0" fontId="7" fillId="0" borderId="1" xfId="5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/>
    </xf>
    <xf numFmtId="177" fontId="8" fillId="0" borderId="1" xfId="53" applyNumberFormat="1" applyFont="1" applyFill="1" applyBorder="1" applyAlignment="1">
      <alignment horizontal="center"/>
    </xf>
    <xf numFmtId="177" fontId="8" fillId="0" borderId="1" xfId="53" applyNumberFormat="1" applyFont="1" applyFill="1" applyBorder="1" applyAlignment="1">
      <alignment horizontal="center"/>
    </xf>
    <xf numFmtId="176" fontId="6" fillId="0" borderId="1" xfId="13" applyNumberFormat="1" applyFont="1" applyFill="1" applyBorder="1" applyAlignment="1">
      <alignment horizontal="center"/>
    </xf>
    <xf numFmtId="0" fontId="6" fillId="0" borderId="1" xfId="53" applyNumberFormat="1" applyFont="1" applyFill="1" applyBorder="1" applyAlignment="1">
      <alignment horizontal="center" wrapText="1"/>
    </xf>
    <xf numFmtId="10" fontId="6" fillId="0" borderId="1" xfId="13" applyNumberFormat="1" applyFont="1" applyFill="1" applyBorder="1" applyAlignment="1">
      <alignment horizontal="center"/>
    </xf>
    <xf numFmtId="176" fontId="6" fillId="0" borderId="1" xfId="13" applyNumberFormat="1" applyFont="1" applyFill="1" applyBorder="1" applyAlignment="1">
      <alignment horizontal="center"/>
    </xf>
    <xf numFmtId="0" fontId="6" fillId="0" borderId="1" xfId="53" applyNumberFormat="1" applyFont="1" applyFill="1" applyBorder="1" applyAlignment="1">
      <alignment horizontal="center" wrapText="1"/>
    </xf>
    <xf numFmtId="10" fontId="6" fillId="0" borderId="1" xfId="13" applyNumberFormat="1" applyFont="1" applyFill="1" applyBorder="1" applyAlignment="1">
      <alignment horizontal="center"/>
    </xf>
    <xf numFmtId="176" fontId="7" fillId="0" borderId="1" xfId="13" applyNumberFormat="1" applyFont="1" applyFill="1" applyBorder="1" applyAlignment="1">
      <alignment horizontal="center"/>
    </xf>
    <xf numFmtId="0" fontId="7" fillId="0" borderId="1" xfId="53" applyNumberFormat="1" applyFont="1" applyFill="1" applyBorder="1" applyAlignment="1">
      <alignment horizontal="center" wrapText="1"/>
    </xf>
    <xf numFmtId="10" fontId="7" fillId="0" borderId="1" xfId="13" applyNumberFormat="1" applyFont="1" applyFill="1" applyBorder="1" applyAlignment="1">
      <alignment horizontal="center"/>
    </xf>
    <xf numFmtId="176" fontId="8" fillId="0" borderId="1" xfId="13" applyNumberFormat="1" applyFont="1" applyFill="1" applyBorder="1" applyAlignment="1">
      <alignment horizontal="center" wrapText="1"/>
    </xf>
    <xf numFmtId="10" fontId="8" fillId="0" borderId="1" xfId="13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58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0"/>
  <sheetViews>
    <sheetView tabSelected="1" workbookViewId="0">
      <selection activeCell="AC17" sqref="AC17"/>
    </sheetView>
  </sheetViews>
  <sheetFormatPr defaultColWidth="9" defaultRowHeight="14.25"/>
  <cols>
    <col min="1" max="1" width="19" style="4" customWidth="1"/>
    <col min="2" max="2" width="12.25" style="4" customWidth="1"/>
    <col min="3" max="3" width="9" style="4" hidden="1" customWidth="1"/>
    <col min="4" max="4" width="7" style="4" hidden="1" customWidth="1"/>
    <col min="5" max="5" width="7.25" style="4" hidden="1" customWidth="1"/>
    <col min="6" max="6" width="7.875" style="4" hidden="1" customWidth="1"/>
    <col min="7" max="7" width="7.875" style="5" hidden="1" customWidth="1"/>
    <col min="8" max="8" width="8.625" style="4" hidden="1" customWidth="1"/>
    <col min="9" max="9" width="6.875" style="4" hidden="1" customWidth="1"/>
    <col min="10" max="10" width="8" style="4" hidden="1" customWidth="1"/>
    <col min="11" max="11" width="7.5" style="4" hidden="1" customWidth="1"/>
    <col min="12" max="12" width="7" style="4" hidden="1" customWidth="1"/>
    <col min="13" max="13" width="7.625" style="4" hidden="1" customWidth="1"/>
    <col min="14" max="14" width="8.125" style="4" hidden="1" customWidth="1"/>
    <col min="15" max="15" width="5.125" style="4" hidden="1" customWidth="1"/>
    <col min="16" max="16" width="7.875" style="4" hidden="1" customWidth="1"/>
    <col min="17" max="17" width="9" style="4" hidden="1" customWidth="1"/>
    <col min="18" max="18" width="9.25" style="4" hidden="1" customWidth="1"/>
    <col min="19" max="19" width="8.875" style="4" hidden="1" customWidth="1"/>
    <col min="20" max="20" width="8.625" style="4" hidden="1" customWidth="1"/>
    <col min="21" max="21" width="9.5" style="4" hidden="1" customWidth="1"/>
    <col min="22" max="22" width="9" style="4" hidden="1" customWidth="1"/>
    <col min="23" max="23" width="9" style="6"/>
    <col min="24" max="24" width="15.75" style="6" customWidth="1"/>
    <col min="25" max="25" width="15.875" style="6" customWidth="1"/>
    <col min="26" max="26" width="11.125" style="4" customWidth="1"/>
    <col min="27" max="27" width="11" style="3" customWidth="1"/>
    <col min="28" max="28" width="14.375" style="3" customWidth="1"/>
    <col min="29" max="29" width="37.5" style="3" customWidth="1"/>
    <col min="30" max="16384" width="9" style="3"/>
  </cols>
  <sheetData>
    <row r="1" ht="22.5" spans="1:2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3" ht="33.75" spans="1:2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8" t="s">
        <v>27</v>
      </c>
      <c r="AB3" s="8" t="s">
        <v>28</v>
      </c>
      <c r="AC3" s="8" t="s">
        <v>29</v>
      </c>
    </row>
    <row r="4" spans="1:29">
      <c r="A4" s="9" t="s">
        <v>30</v>
      </c>
      <c r="B4" s="9" t="s">
        <v>31</v>
      </c>
      <c r="C4" s="10">
        <v>1706</v>
      </c>
      <c r="D4" s="10">
        <f>C4*1.2</f>
        <v>2047.2</v>
      </c>
      <c r="E4" s="10">
        <v>2985</v>
      </c>
      <c r="F4" s="11">
        <v>3200</v>
      </c>
      <c r="G4" s="12">
        <v>3000</v>
      </c>
      <c r="H4" s="13">
        <f t="shared" ref="H4:H8" si="0">G4*30</f>
        <v>90000</v>
      </c>
      <c r="I4" s="27">
        <f t="shared" ref="I4:I8" si="1">(G4-C4)/C4</f>
        <v>0.758499413833529</v>
      </c>
      <c r="J4" s="28" t="s">
        <v>32</v>
      </c>
      <c r="K4" s="29">
        <v>0.0447174664123659</v>
      </c>
      <c r="L4" s="10">
        <f>H4*K4</f>
        <v>4024.57197711293</v>
      </c>
      <c r="M4" s="27">
        <v>0.139852673575331</v>
      </c>
      <c r="N4" s="10">
        <f>M4*H4</f>
        <v>12586.7406217798</v>
      </c>
      <c r="O4" s="10">
        <v>92.21</v>
      </c>
      <c r="P4" s="10">
        <f>H4/O4</f>
        <v>976.032968224705</v>
      </c>
      <c r="Q4" s="13">
        <f>G4*1.06</f>
        <v>3180</v>
      </c>
      <c r="R4" s="13">
        <f>Q4*30</f>
        <v>95400</v>
      </c>
      <c r="S4" s="10">
        <f>R4*J4</f>
        <v>25032.96</v>
      </c>
      <c r="T4" s="13">
        <f>G4*1.12</f>
        <v>3360</v>
      </c>
      <c r="U4" s="13">
        <f>T4*30</f>
        <v>100800</v>
      </c>
      <c r="V4" s="10">
        <f t="shared" ref="V4:V8" si="2">U4*J4</f>
        <v>26449.92</v>
      </c>
      <c r="W4" s="21" t="s">
        <v>33</v>
      </c>
      <c r="X4" s="21" t="s">
        <v>34</v>
      </c>
      <c r="Y4" s="21">
        <v>800</v>
      </c>
      <c r="Z4" s="22" t="s">
        <v>35</v>
      </c>
      <c r="AA4" s="39" t="s">
        <v>36</v>
      </c>
      <c r="AB4" s="23" t="s">
        <v>37</v>
      </c>
      <c r="AC4" s="23"/>
    </row>
    <row r="5" s="1" customFormat="1" spans="1:29">
      <c r="A5" s="14" t="s">
        <v>38</v>
      </c>
      <c r="B5" s="14" t="s">
        <v>31</v>
      </c>
      <c r="C5" s="15">
        <v>0</v>
      </c>
      <c r="D5" s="15">
        <f>C5*1.2</f>
        <v>0</v>
      </c>
      <c r="E5" s="15">
        <v>2788</v>
      </c>
      <c r="F5" s="12">
        <v>2500</v>
      </c>
      <c r="G5" s="12">
        <v>2600</v>
      </c>
      <c r="H5" s="16">
        <f t="shared" si="0"/>
        <v>78000</v>
      </c>
      <c r="I5" s="30" t="e">
        <f t="shared" si="1"/>
        <v>#DIV/0!</v>
      </c>
      <c r="J5" s="31" t="s">
        <v>39</v>
      </c>
      <c r="K5" s="32">
        <v>0.0160009321309899</v>
      </c>
      <c r="L5" s="15">
        <f>H5*K5</f>
        <v>1248.07270621721</v>
      </c>
      <c r="M5" s="30">
        <v>0.144917803060764</v>
      </c>
      <c r="N5" s="15">
        <f>M5*H5</f>
        <v>11303.5886387396</v>
      </c>
      <c r="O5" s="15">
        <v>58.73</v>
      </c>
      <c r="P5" s="15">
        <f>H5/O5</f>
        <v>1328.11169759918</v>
      </c>
      <c r="Q5" s="16">
        <f>G5*1.08</f>
        <v>2808</v>
      </c>
      <c r="R5" s="16">
        <f>Q5*30</f>
        <v>84240</v>
      </c>
      <c r="S5" s="15">
        <f>R5*J5</f>
        <v>26097.552</v>
      </c>
      <c r="T5" s="16">
        <f>G5*1.16</f>
        <v>3016</v>
      </c>
      <c r="U5" s="16">
        <f>T5*30</f>
        <v>90480</v>
      </c>
      <c r="V5" s="15">
        <f t="shared" si="2"/>
        <v>28030.704</v>
      </c>
      <c r="W5" s="38" t="s">
        <v>40</v>
      </c>
      <c r="X5" s="38" t="s">
        <v>41</v>
      </c>
      <c r="Y5" s="38" t="s">
        <v>42</v>
      </c>
      <c r="Z5" s="40" t="s">
        <v>43</v>
      </c>
      <c r="AA5" s="41" t="s">
        <v>44</v>
      </c>
      <c r="AB5" s="41" t="s">
        <v>45</v>
      </c>
      <c r="AC5" s="41" t="s">
        <v>46</v>
      </c>
    </row>
    <row r="6" spans="1:29">
      <c r="A6" s="9" t="s">
        <v>47</v>
      </c>
      <c r="B6" s="9" t="s">
        <v>31</v>
      </c>
      <c r="C6" s="17">
        <v>2540</v>
      </c>
      <c r="D6" s="17">
        <f t="shared" ref="D4:D19" si="3">C6*1.2</f>
        <v>3048</v>
      </c>
      <c r="E6" s="17">
        <v>2400</v>
      </c>
      <c r="F6" s="18">
        <v>3000</v>
      </c>
      <c r="G6" s="19">
        <f t="shared" ref="G5:G7" si="4">F6</f>
        <v>3000</v>
      </c>
      <c r="H6" s="20">
        <f t="shared" ref="H4:H7" si="5">G6*30</f>
        <v>90000</v>
      </c>
      <c r="I6" s="33">
        <f t="shared" ref="I4:I7" si="6">(G6-C6)/C6</f>
        <v>0.181102362204724</v>
      </c>
      <c r="J6" s="34" t="s">
        <v>48</v>
      </c>
      <c r="K6" s="35">
        <v>0.0359066093525625</v>
      </c>
      <c r="L6" s="17">
        <f t="shared" ref="L4:L19" si="7">H6*K6</f>
        <v>3231.59484173062</v>
      </c>
      <c r="M6" s="33">
        <v>0.11513891219939</v>
      </c>
      <c r="N6" s="17">
        <f t="shared" ref="N4:N19" si="8">M6*H6</f>
        <v>10362.5020979451</v>
      </c>
      <c r="O6" s="17">
        <v>60.62</v>
      </c>
      <c r="P6" s="17">
        <f t="shared" ref="P4:P19" si="9">H6/O6</f>
        <v>1484.65852853844</v>
      </c>
      <c r="Q6" s="20">
        <f t="shared" ref="Q4:Q7" si="10">G6*1.06</f>
        <v>3180</v>
      </c>
      <c r="R6" s="20">
        <f t="shared" ref="R4:R19" si="11">Q6*30</f>
        <v>95400</v>
      </c>
      <c r="S6" s="17">
        <f t="shared" ref="S4:S19" si="12">R6*J6</f>
        <v>31300.74</v>
      </c>
      <c r="T6" s="20">
        <f t="shared" ref="T4:T7" si="13">G6*1.12</f>
        <v>3360</v>
      </c>
      <c r="U6" s="20">
        <f t="shared" ref="U4:U19" si="14">T6*30</f>
        <v>100800</v>
      </c>
      <c r="V6" s="17">
        <f t="shared" ref="V4:V7" si="15">U6*J6</f>
        <v>33072.48</v>
      </c>
      <c r="W6" s="21">
        <v>600</v>
      </c>
      <c r="X6" s="21" t="s">
        <v>49</v>
      </c>
      <c r="Y6" s="21" t="s">
        <v>50</v>
      </c>
      <c r="Z6" s="22" t="s">
        <v>35</v>
      </c>
      <c r="AA6" s="23" t="s">
        <v>51</v>
      </c>
      <c r="AB6" s="23" t="s">
        <v>37</v>
      </c>
      <c r="AC6" s="23"/>
    </row>
    <row r="7" s="2" customFormat="1" spans="1:29">
      <c r="A7" s="9" t="s">
        <v>52</v>
      </c>
      <c r="B7" s="9" t="s">
        <v>31</v>
      </c>
      <c r="C7" s="10">
        <v>4317</v>
      </c>
      <c r="D7" s="10">
        <f t="shared" si="3"/>
        <v>5180.4</v>
      </c>
      <c r="E7" s="10">
        <v>4641</v>
      </c>
      <c r="F7" s="11">
        <v>4600</v>
      </c>
      <c r="G7" s="12">
        <f t="shared" si="4"/>
        <v>4600</v>
      </c>
      <c r="H7" s="13">
        <f t="shared" si="5"/>
        <v>138000</v>
      </c>
      <c r="I7" s="27">
        <f t="shared" si="6"/>
        <v>0.0655547834144082</v>
      </c>
      <c r="J7" s="28" t="s">
        <v>53</v>
      </c>
      <c r="K7" s="29">
        <v>0.0290682857510796</v>
      </c>
      <c r="L7" s="10">
        <f t="shared" si="7"/>
        <v>4011.42343364898</v>
      </c>
      <c r="M7" s="27">
        <v>0.123158869287059</v>
      </c>
      <c r="N7" s="10">
        <f t="shared" si="8"/>
        <v>16995.9239616141</v>
      </c>
      <c r="O7" s="10">
        <v>65.99</v>
      </c>
      <c r="P7" s="10">
        <f t="shared" si="9"/>
        <v>2091.22594332475</v>
      </c>
      <c r="Q7" s="13">
        <f t="shared" si="10"/>
        <v>4876</v>
      </c>
      <c r="R7" s="13">
        <f t="shared" si="11"/>
        <v>146280</v>
      </c>
      <c r="S7" s="10">
        <f t="shared" si="12"/>
        <v>46400.016</v>
      </c>
      <c r="T7" s="13">
        <f t="shared" si="13"/>
        <v>5152</v>
      </c>
      <c r="U7" s="13">
        <f t="shared" si="14"/>
        <v>154560</v>
      </c>
      <c r="V7" s="10">
        <f t="shared" si="15"/>
        <v>49026.432</v>
      </c>
      <c r="W7" s="21" t="s">
        <v>54</v>
      </c>
      <c r="X7" s="21" t="s">
        <v>55</v>
      </c>
      <c r="Y7" s="21" t="s">
        <v>56</v>
      </c>
      <c r="Z7" s="22" t="s">
        <v>57</v>
      </c>
      <c r="AA7" s="42" t="s">
        <v>58</v>
      </c>
      <c r="AB7" s="42" t="s">
        <v>37</v>
      </c>
      <c r="AC7" s="42"/>
    </row>
    <row r="8" spans="1:29">
      <c r="A8" s="9" t="s">
        <v>59</v>
      </c>
      <c r="B8" s="9" t="s">
        <v>31</v>
      </c>
      <c r="C8" s="10">
        <v>5253</v>
      </c>
      <c r="D8" s="10">
        <f t="shared" si="3"/>
        <v>6303.6</v>
      </c>
      <c r="E8" s="10">
        <v>4909</v>
      </c>
      <c r="F8" s="11">
        <v>5500</v>
      </c>
      <c r="G8" s="12">
        <v>5300</v>
      </c>
      <c r="H8" s="13">
        <f t="shared" si="0"/>
        <v>159000</v>
      </c>
      <c r="I8" s="27">
        <f t="shared" si="1"/>
        <v>0.00894726822767942</v>
      </c>
      <c r="J8" s="28" t="s">
        <v>60</v>
      </c>
      <c r="K8" s="29">
        <v>0.0387674460032332</v>
      </c>
      <c r="L8" s="10">
        <f t="shared" si="7"/>
        <v>6164.02391451408</v>
      </c>
      <c r="M8" s="27">
        <v>0.115082163228962</v>
      </c>
      <c r="N8" s="10">
        <f t="shared" si="8"/>
        <v>18298.063953405</v>
      </c>
      <c r="O8" s="10">
        <v>54.07</v>
      </c>
      <c r="P8" s="10">
        <f t="shared" si="9"/>
        <v>2940.63251340854</v>
      </c>
      <c r="Q8" s="13">
        <f>G8*1.05</f>
        <v>5565</v>
      </c>
      <c r="R8" s="13">
        <f t="shared" si="11"/>
        <v>166950</v>
      </c>
      <c r="S8" s="10">
        <f t="shared" si="12"/>
        <v>50769.495</v>
      </c>
      <c r="T8" s="13">
        <f>G8*1.1</f>
        <v>5830</v>
      </c>
      <c r="U8" s="13">
        <f t="shared" si="14"/>
        <v>174900</v>
      </c>
      <c r="V8" s="10">
        <f t="shared" si="2"/>
        <v>53187.09</v>
      </c>
      <c r="W8" s="21" t="s">
        <v>61</v>
      </c>
      <c r="X8" s="21" t="s">
        <v>49</v>
      </c>
      <c r="Y8" s="21" t="s">
        <v>62</v>
      </c>
      <c r="Z8" s="22" t="s">
        <v>63</v>
      </c>
      <c r="AA8" s="23" t="s">
        <v>64</v>
      </c>
      <c r="AB8" s="23" t="s">
        <v>65</v>
      </c>
      <c r="AC8" s="23"/>
    </row>
    <row r="9" spans="1:29">
      <c r="A9" s="9" t="s">
        <v>66</v>
      </c>
      <c r="B9" s="9" t="s">
        <v>31</v>
      </c>
      <c r="C9" s="10">
        <v>4838</v>
      </c>
      <c r="D9" s="10">
        <f t="shared" si="3"/>
        <v>5805.6</v>
      </c>
      <c r="E9" s="10">
        <v>5184</v>
      </c>
      <c r="F9" s="11">
        <v>5100</v>
      </c>
      <c r="G9" s="12">
        <f t="shared" ref="G9:G11" si="16">F9</f>
        <v>5100</v>
      </c>
      <c r="H9" s="13">
        <f t="shared" ref="H8:H13" si="17">G9*30</f>
        <v>153000</v>
      </c>
      <c r="I9" s="27">
        <f t="shared" ref="I8:I13" si="18">(G9-C9)/C9</f>
        <v>0.0541546093427036</v>
      </c>
      <c r="J9" s="28" t="s">
        <v>67</v>
      </c>
      <c r="K9" s="29">
        <v>0.03119150034329</v>
      </c>
      <c r="L9" s="10">
        <f t="shared" si="7"/>
        <v>4772.29955252337</v>
      </c>
      <c r="M9" s="27">
        <v>0.130299070367338</v>
      </c>
      <c r="N9" s="10">
        <f t="shared" si="8"/>
        <v>19935.7577662027</v>
      </c>
      <c r="O9" s="10">
        <v>51.9</v>
      </c>
      <c r="P9" s="10">
        <f t="shared" si="9"/>
        <v>2947.97687861272</v>
      </c>
      <c r="Q9" s="13">
        <f t="shared" ref="Q8:Q10" si="19">G9*1.05</f>
        <v>5355</v>
      </c>
      <c r="R9" s="13">
        <f t="shared" si="11"/>
        <v>160650</v>
      </c>
      <c r="S9" s="10">
        <f t="shared" si="12"/>
        <v>55825.875</v>
      </c>
      <c r="T9" s="13">
        <f t="shared" ref="T8:T10" si="20">G9*1.1</f>
        <v>5610</v>
      </c>
      <c r="U9" s="13">
        <f t="shared" si="14"/>
        <v>168300</v>
      </c>
      <c r="V9" s="10">
        <f t="shared" ref="V8:V13" si="21">U9*J9</f>
        <v>58484.25</v>
      </c>
      <c r="W9" s="21" t="s">
        <v>68</v>
      </c>
      <c r="X9" s="21" t="s">
        <v>55</v>
      </c>
      <c r="Y9" s="21" t="s">
        <v>69</v>
      </c>
      <c r="Z9" s="22" t="s">
        <v>35</v>
      </c>
      <c r="AA9" s="23" t="s">
        <v>70</v>
      </c>
      <c r="AB9" s="23" t="s">
        <v>37</v>
      </c>
      <c r="AC9" s="23"/>
    </row>
    <row r="10" spans="1:29">
      <c r="A10" s="9" t="s">
        <v>71</v>
      </c>
      <c r="B10" s="9" t="s">
        <v>31</v>
      </c>
      <c r="C10" s="10">
        <v>4773</v>
      </c>
      <c r="D10" s="10">
        <f t="shared" si="3"/>
        <v>5727.6</v>
      </c>
      <c r="E10" s="10">
        <v>7235</v>
      </c>
      <c r="F10" s="11">
        <v>6600</v>
      </c>
      <c r="G10" s="12">
        <f t="shared" si="16"/>
        <v>6600</v>
      </c>
      <c r="H10" s="13">
        <f t="shared" si="17"/>
        <v>198000</v>
      </c>
      <c r="I10" s="27">
        <f t="shared" si="18"/>
        <v>0.382778126964173</v>
      </c>
      <c r="J10" s="28" t="s">
        <v>72</v>
      </c>
      <c r="K10" s="29">
        <v>0.0449573126835295</v>
      </c>
      <c r="L10" s="10">
        <f t="shared" si="7"/>
        <v>8901.54791133884</v>
      </c>
      <c r="M10" s="27">
        <v>0.112452419907599</v>
      </c>
      <c r="N10" s="10">
        <f t="shared" si="8"/>
        <v>22265.5791417046</v>
      </c>
      <c r="O10" s="10">
        <v>73.19</v>
      </c>
      <c r="P10" s="10">
        <f t="shared" si="9"/>
        <v>2705.28760759667</v>
      </c>
      <c r="Q10" s="13">
        <f t="shared" si="19"/>
        <v>6930</v>
      </c>
      <c r="R10" s="13">
        <f t="shared" si="11"/>
        <v>207900</v>
      </c>
      <c r="S10" s="10">
        <f t="shared" si="12"/>
        <v>67713.03</v>
      </c>
      <c r="T10" s="13">
        <f t="shared" si="20"/>
        <v>7260</v>
      </c>
      <c r="U10" s="13">
        <f t="shared" si="14"/>
        <v>217800</v>
      </c>
      <c r="V10" s="10">
        <f t="shared" si="21"/>
        <v>70937.46</v>
      </c>
      <c r="W10" s="21">
        <v>2000</v>
      </c>
      <c r="X10" s="21" t="s">
        <v>34</v>
      </c>
      <c r="Y10" s="21" t="s">
        <v>73</v>
      </c>
      <c r="Z10" s="22" t="s">
        <v>63</v>
      </c>
      <c r="AA10" s="23" t="s">
        <v>74</v>
      </c>
      <c r="AB10" s="23" t="s">
        <v>65</v>
      </c>
      <c r="AC10" s="23"/>
    </row>
    <row r="11" s="3" customFormat="1" spans="1:28">
      <c r="A11" s="9" t="s">
        <v>75</v>
      </c>
      <c r="B11" s="9" t="s">
        <v>31</v>
      </c>
      <c r="C11" s="21" t="s">
        <v>61</v>
      </c>
      <c r="D11" s="21" t="s">
        <v>76</v>
      </c>
      <c r="E11" s="21" t="s">
        <v>42</v>
      </c>
      <c r="F11" s="22" t="s">
        <v>35</v>
      </c>
      <c r="G11" s="23" t="s">
        <v>77</v>
      </c>
      <c r="H11" s="23" t="s">
        <v>37</v>
      </c>
      <c r="I11" s="2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21" t="s">
        <v>61</v>
      </c>
      <c r="X11" s="21" t="s">
        <v>76</v>
      </c>
      <c r="Y11" s="21" t="s">
        <v>42</v>
      </c>
      <c r="Z11" s="22" t="s">
        <v>35</v>
      </c>
      <c r="AA11" s="23" t="s">
        <v>77</v>
      </c>
      <c r="AB11" s="23" t="s">
        <v>37</v>
      </c>
    </row>
    <row r="12" spans="1:29">
      <c r="A12" s="9" t="s">
        <v>78</v>
      </c>
      <c r="B12" s="9" t="s">
        <v>31</v>
      </c>
      <c r="C12" s="10">
        <v>0</v>
      </c>
      <c r="D12" s="10">
        <f t="shared" si="3"/>
        <v>0</v>
      </c>
      <c r="E12" s="10">
        <v>2788</v>
      </c>
      <c r="F12" s="11">
        <v>2500</v>
      </c>
      <c r="G12" s="12">
        <v>2600</v>
      </c>
      <c r="H12" s="13">
        <f t="shared" si="17"/>
        <v>78000</v>
      </c>
      <c r="I12" s="27" t="e">
        <f t="shared" si="18"/>
        <v>#DIV/0!</v>
      </c>
      <c r="J12" s="28" t="s">
        <v>39</v>
      </c>
      <c r="K12" s="29">
        <v>0.0160009321309899</v>
      </c>
      <c r="L12" s="10">
        <f t="shared" si="7"/>
        <v>1248.07270621721</v>
      </c>
      <c r="M12" s="27">
        <v>0.144917803060764</v>
      </c>
      <c r="N12" s="10">
        <f t="shared" si="8"/>
        <v>11303.5886387396</v>
      </c>
      <c r="O12" s="10">
        <v>58.73</v>
      </c>
      <c r="P12" s="10">
        <f t="shared" si="9"/>
        <v>1328.11169759918</v>
      </c>
      <c r="Q12" s="13">
        <f>G12*1.08</f>
        <v>2808</v>
      </c>
      <c r="R12" s="13">
        <f t="shared" si="11"/>
        <v>84240</v>
      </c>
      <c r="S12" s="10">
        <f t="shared" si="12"/>
        <v>26097.552</v>
      </c>
      <c r="T12" s="13">
        <f>G12*1.16</f>
        <v>3016</v>
      </c>
      <c r="U12" s="13">
        <f t="shared" si="14"/>
        <v>90480</v>
      </c>
      <c r="V12" s="10">
        <f t="shared" si="21"/>
        <v>28030.704</v>
      </c>
      <c r="W12" s="21">
        <v>2000</v>
      </c>
      <c r="X12" s="21" t="s">
        <v>79</v>
      </c>
      <c r="Y12" s="21" t="s">
        <v>80</v>
      </c>
      <c r="Z12" s="22" t="s">
        <v>35</v>
      </c>
      <c r="AA12" s="23" t="s">
        <v>58</v>
      </c>
      <c r="AB12" s="23" t="s">
        <v>37</v>
      </c>
      <c r="AC12" s="23"/>
    </row>
    <row r="13" spans="1:29">
      <c r="A13" s="9" t="s">
        <v>81</v>
      </c>
      <c r="B13" s="9" t="s">
        <v>31</v>
      </c>
      <c r="C13" s="10">
        <v>19611</v>
      </c>
      <c r="D13" s="10">
        <f t="shared" si="3"/>
        <v>23533.2</v>
      </c>
      <c r="E13" s="10">
        <v>19392</v>
      </c>
      <c r="F13" s="11">
        <v>20000</v>
      </c>
      <c r="G13" s="12">
        <f t="shared" ref="G13:G17" si="22">F13</f>
        <v>20000</v>
      </c>
      <c r="H13" s="13">
        <f t="shared" si="17"/>
        <v>600000</v>
      </c>
      <c r="I13" s="27">
        <f t="shared" si="18"/>
        <v>0.0198358064351639</v>
      </c>
      <c r="J13" s="28" t="s">
        <v>82</v>
      </c>
      <c r="K13" s="29">
        <v>0.0650837522110637</v>
      </c>
      <c r="L13" s="10">
        <f t="shared" si="7"/>
        <v>39050.2513266382</v>
      </c>
      <c r="M13" s="27">
        <v>0.11</v>
      </c>
      <c r="N13" s="10">
        <f t="shared" si="8"/>
        <v>66000</v>
      </c>
      <c r="O13" s="10">
        <v>90.59</v>
      </c>
      <c r="P13" s="10">
        <f t="shared" si="9"/>
        <v>6623.24759907275</v>
      </c>
      <c r="Q13" s="13">
        <f>G13*1.03</f>
        <v>20600</v>
      </c>
      <c r="R13" s="13">
        <f t="shared" si="11"/>
        <v>618000</v>
      </c>
      <c r="S13" s="10">
        <f t="shared" si="12"/>
        <v>175388.4</v>
      </c>
      <c r="T13" s="13">
        <f>G13*1.06</f>
        <v>21200</v>
      </c>
      <c r="U13" s="13">
        <f t="shared" si="14"/>
        <v>636000</v>
      </c>
      <c r="V13" s="10">
        <f t="shared" si="21"/>
        <v>180496.8</v>
      </c>
      <c r="W13" s="21">
        <v>7000</v>
      </c>
      <c r="X13" s="21" t="s">
        <v>83</v>
      </c>
      <c r="Y13" s="21" t="s">
        <v>84</v>
      </c>
      <c r="Z13" s="22" t="s">
        <v>85</v>
      </c>
      <c r="AA13" s="23" t="s">
        <v>86</v>
      </c>
      <c r="AB13" s="23" t="s">
        <v>45</v>
      </c>
      <c r="AC13" s="23"/>
    </row>
    <row r="14" spans="1:29">
      <c r="A14" s="9" t="s">
        <v>87</v>
      </c>
      <c r="B14" s="9" t="s">
        <v>31</v>
      </c>
      <c r="C14" s="10">
        <v>4556</v>
      </c>
      <c r="D14" s="10">
        <f t="shared" si="3"/>
        <v>5467.2</v>
      </c>
      <c r="E14" s="10">
        <v>5423</v>
      </c>
      <c r="F14" s="11">
        <v>5400</v>
      </c>
      <c r="G14" s="12">
        <f t="shared" si="22"/>
        <v>5400</v>
      </c>
      <c r="H14" s="13">
        <f t="shared" ref="H14:H17" si="23">G14*30</f>
        <v>162000</v>
      </c>
      <c r="I14" s="27">
        <f t="shared" ref="I14:I17" si="24">(G14-C14)/C14</f>
        <v>0.185250219490781</v>
      </c>
      <c r="J14" s="28" t="s">
        <v>88</v>
      </c>
      <c r="K14" s="29">
        <v>0.027017565944957</v>
      </c>
      <c r="L14" s="10">
        <f t="shared" si="7"/>
        <v>4376.84568308303</v>
      </c>
      <c r="M14" s="27">
        <v>0.1</v>
      </c>
      <c r="N14" s="10">
        <f t="shared" si="8"/>
        <v>16200</v>
      </c>
      <c r="O14" s="10">
        <v>58.5</v>
      </c>
      <c r="P14" s="10">
        <f t="shared" si="9"/>
        <v>2769.23076923077</v>
      </c>
      <c r="Q14" s="13">
        <f t="shared" ref="Q14:Q19" si="25">G14*1.05</f>
        <v>5670</v>
      </c>
      <c r="R14" s="13">
        <f t="shared" si="11"/>
        <v>170100</v>
      </c>
      <c r="S14" s="10">
        <f t="shared" si="12"/>
        <v>56745.36</v>
      </c>
      <c r="T14" s="13">
        <f t="shared" ref="T14:T19" si="26">G14*1.1</f>
        <v>5940</v>
      </c>
      <c r="U14" s="13">
        <f t="shared" si="14"/>
        <v>178200</v>
      </c>
      <c r="V14" s="10">
        <f t="shared" ref="V14:V17" si="27">U14*J14</f>
        <v>59447.52</v>
      </c>
      <c r="W14" s="21" t="s">
        <v>89</v>
      </c>
      <c r="X14" s="21" t="s">
        <v>90</v>
      </c>
      <c r="Y14" s="21" t="s">
        <v>50</v>
      </c>
      <c r="Z14" s="22" t="s">
        <v>35</v>
      </c>
      <c r="AA14" s="23" t="s">
        <v>70</v>
      </c>
      <c r="AB14" s="23" t="s">
        <v>65</v>
      </c>
      <c r="AC14" s="23"/>
    </row>
    <row r="15" spans="1:29">
      <c r="A15" s="9" t="s">
        <v>91</v>
      </c>
      <c r="B15" s="9" t="s">
        <v>31</v>
      </c>
      <c r="C15" s="10">
        <v>5688</v>
      </c>
      <c r="D15" s="10">
        <f t="shared" si="3"/>
        <v>6825.6</v>
      </c>
      <c r="E15" s="10">
        <v>5573</v>
      </c>
      <c r="F15" s="11">
        <v>5600</v>
      </c>
      <c r="G15" s="12">
        <v>5600</v>
      </c>
      <c r="H15" s="13">
        <f t="shared" si="23"/>
        <v>168000</v>
      </c>
      <c r="I15" s="27">
        <f t="shared" si="24"/>
        <v>-0.0154711673699015</v>
      </c>
      <c r="J15" s="28" t="s">
        <v>92</v>
      </c>
      <c r="K15" s="29">
        <v>0.078997368756857</v>
      </c>
      <c r="L15" s="10">
        <f t="shared" si="7"/>
        <v>13271.557951152</v>
      </c>
      <c r="M15" s="27">
        <v>0.105</v>
      </c>
      <c r="N15" s="10">
        <f t="shared" si="8"/>
        <v>17640</v>
      </c>
      <c r="O15" s="10">
        <v>70.31</v>
      </c>
      <c r="P15" s="10">
        <f t="shared" si="9"/>
        <v>2389.4182904281</v>
      </c>
      <c r="Q15" s="13">
        <f t="shared" si="25"/>
        <v>5880</v>
      </c>
      <c r="R15" s="13">
        <f t="shared" si="11"/>
        <v>176400</v>
      </c>
      <c r="S15" s="10">
        <f t="shared" si="12"/>
        <v>60258.24</v>
      </c>
      <c r="T15" s="13">
        <f t="shared" si="26"/>
        <v>6160</v>
      </c>
      <c r="U15" s="13">
        <f t="shared" si="14"/>
        <v>184800</v>
      </c>
      <c r="V15" s="10">
        <f t="shared" si="27"/>
        <v>63127.68</v>
      </c>
      <c r="W15" s="21">
        <v>1500</v>
      </c>
      <c r="X15" s="21" t="s">
        <v>90</v>
      </c>
      <c r="Y15" s="21">
        <v>1000</v>
      </c>
      <c r="Z15" s="22" t="s">
        <v>35</v>
      </c>
      <c r="AA15" s="23" t="s">
        <v>93</v>
      </c>
      <c r="AB15" s="23" t="s">
        <v>37</v>
      </c>
      <c r="AC15" s="23"/>
    </row>
    <row r="16" spans="1:29">
      <c r="A16" s="9" t="s">
        <v>94</v>
      </c>
      <c r="B16" s="9" t="s">
        <v>31</v>
      </c>
      <c r="C16" s="10">
        <v>5345</v>
      </c>
      <c r="D16" s="10">
        <f t="shared" si="3"/>
        <v>6414</v>
      </c>
      <c r="E16" s="10">
        <v>7690</v>
      </c>
      <c r="F16" s="11">
        <v>9400</v>
      </c>
      <c r="G16" s="12">
        <v>9000</v>
      </c>
      <c r="H16" s="13">
        <f t="shared" si="23"/>
        <v>270000</v>
      </c>
      <c r="I16" s="27">
        <f t="shared" si="24"/>
        <v>0.683816651075772</v>
      </c>
      <c r="J16" s="28" t="s">
        <v>95</v>
      </c>
      <c r="K16" s="29">
        <v>0.0264742471105279</v>
      </c>
      <c r="L16" s="10">
        <f t="shared" si="7"/>
        <v>7148.04671984253</v>
      </c>
      <c r="M16" s="27">
        <v>0.0912090209978151</v>
      </c>
      <c r="N16" s="10">
        <f t="shared" si="8"/>
        <v>24626.4356694101</v>
      </c>
      <c r="O16" s="10">
        <v>100.94</v>
      </c>
      <c r="P16" s="10">
        <f t="shared" si="9"/>
        <v>2674.85635030711</v>
      </c>
      <c r="Q16" s="13">
        <f>G16*1.04</f>
        <v>9360</v>
      </c>
      <c r="R16" s="13">
        <f t="shared" si="11"/>
        <v>280800</v>
      </c>
      <c r="S16" s="10">
        <f t="shared" si="12"/>
        <v>78736.32</v>
      </c>
      <c r="T16" s="13">
        <f>G16*1.08</f>
        <v>9720</v>
      </c>
      <c r="U16" s="13">
        <f t="shared" si="14"/>
        <v>291600</v>
      </c>
      <c r="V16" s="10">
        <f t="shared" si="27"/>
        <v>81764.64</v>
      </c>
      <c r="W16" s="21" t="s">
        <v>96</v>
      </c>
      <c r="X16" s="21" t="s">
        <v>34</v>
      </c>
      <c r="Y16" s="21" t="s">
        <v>50</v>
      </c>
      <c r="Z16" s="22" t="s">
        <v>97</v>
      </c>
      <c r="AA16" s="23" t="s">
        <v>98</v>
      </c>
      <c r="AB16" s="23" t="s">
        <v>37</v>
      </c>
      <c r="AC16" s="23"/>
    </row>
    <row r="17" spans="1:29">
      <c r="A17" s="9" t="s">
        <v>99</v>
      </c>
      <c r="B17" s="9" t="s">
        <v>31</v>
      </c>
      <c r="C17" s="10">
        <v>6735</v>
      </c>
      <c r="D17" s="10">
        <f t="shared" si="3"/>
        <v>8082</v>
      </c>
      <c r="E17" s="10">
        <v>11934</v>
      </c>
      <c r="F17" s="11">
        <v>9000</v>
      </c>
      <c r="G17" s="12">
        <f t="shared" si="22"/>
        <v>9000</v>
      </c>
      <c r="H17" s="13">
        <f t="shared" si="23"/>
        <v>270000</v>
      </c>
      <c r="I17" s="27">
        <f t="shared" si="24"/>
        <v>0.33630289532294</v>
      </c>
      <c r="J17" s="28" t="s">
        <v>100</v>
      </c>
      <c r="K17" s="29">
        <v>0.0185107308377537</v>
      </c>
      <c r="L17" s="10">
        <f t="shared" si="7"/>
        <v>4997.8973261935</v>
      </c>
      <c r="M17" s="27">
        <v>0.106216922585456</v>
      </c>
      <c r="N17" s="10">
        <f t="shared" si="8"/>
        <v>28678.5690980731</v>
      </c>
      <c r="O17" s="10">
        <v>65.42</v>
      </c>
      <c r="P17" s="10">
        <f t="shared" si="9"/>
        <v>4127.17823295628</v>
      </c>
      <c r="Q17" s="13">
        <f t="shared" ref="Q16:Q18" si="28">G17*1.04</f>
        <v>9360</v>
      </c>
      <c r="R17" s="13">
        <f t="shared" si="11"/>
        <v>280800</v>
      </c>
      <c r="S17" s="10">
        <f t="shared" si="12"/>
        <v>92495.52</v>
      </c>
      <c r="T17" s="13">
        <f t="shared" ref="T16:T18" si="29">G17*1.08</f>
        <v>9720</v>
      </c>
      <c r="U17" s="13">
        <f t="shared" si="14"/>
        <v>291600</v>
      </c>
      <c r="V17" s="10">
        <f t="shared" si="27"/>
        <v>96053.04</v>
      </c>
      <c r="W17" s="21">
        <v>5000</v>
      </c>
      <c r="X17" s="21" t="s">
        <v>101</v>
      </c>
      <c r="Y17" s="21" t="s">
        <v>102</v>
      </c>
      <c r="Z17" s="22" t="s">
        <v>35</v>
      </c>
      <c r="AA17" s="23" t="s">
        <v>103</v>
      </c>
      <c r="AB17" s="23" t="s">
        <v>37</v>
      </c>
      <c r="AC17" s="23"/>
    </row>
    <row r="18" spans="1:29">
      <c r="A18" s="9" t="s">
        <v>104</v>
      </c>
      <c r="B18" s="9" t="s">
        <v>31</v>
      </c>
      <c r="C18" s="10">
        <v>7122</v>
      </c>
      <c r="D18" s="10">
        <f t="shared" si="3"/>
        <v>8546.4</v>
      </c>
      <c r="E18" s="10">
        <v>6701</v>
      </c>
      <c r="F18" s="11">
        <v>8800</v>
      </c>
      <c r="G18" s="12">
        <v>8600</v>
      </c>
      <c r="H18" s="13">
        <f>G18*30</f>
        <v>258000</v>
      </c>
      <c r="I18" s="27">
        <f>(G18-C18)/C18</f>
        <v>0.20752597584948</v>
      </c>
      <c r="J18" s="28" t="s">
        <v>105</v>
      </c>
      <c r="K18" s="29">
        <v>0.290214499366206</v>
      </c>
      <c r="L18" s="10">
        <f t="shared" si="7"/>
        <v>74875.3408364811</v>
      </c>
      <c r="M18" s="27">
        <v>0.09</v>
      </c>
      <c r="N18" s="10">
        <f t="shared" si="8"/>
        <v>23220</v>
      </c>
      <c r="O18" s="10">
        <v>73.43</v>
      </c>
      <c r="P18" s="10">
        <f t="shared" si="9"/>
        <v>3513.55032003268</v>
      </c>
      <c r="Q18" s="13">
        <f t="shared" si="28"/>
        <v>8944</v>
      </c>
      <c r="R18" s="13">
        <f t="shared" si="11"/>
        <v>268320</v>
      </c>
      <c r="S18" s="10">
        <f t="shared" si="12"/>
        <v>91604.448</v>
      </c>
      <c r="T18" s="13">
        <f t="shared" si="29"/>
        <v>9288</v>
      </c>
      <c r="U18" s="13">
        <f t="shared" si="14"/>
        <v>278640</v>
      </c>
      <c r="V18" s="10">
        <f>U18*J18</f>
        <v>95127.696</v>
      </c>
      <c r="W18" s="21" t="s">
        <v>96</v>
      </c>
      <c r="X18" s="21" t="s">
        <v>34</v>
      </c>
      <c r="Y18" s="21" t="s">
        <v>42</v>
      </c>
      <c r="Z18" s="22" t="s">
        <v>35</v>
      </c>
      <c r="AA18" s="23" t="s">
        <v>58</v>
      </c>
      <c r="AB18" s="23" t="s">
        <v>37</v>
      </c>
      <c r="AC18" s="23"/>
    </row>
    <row r="19" spans="1:29">
      <c r="A19" s="9" t="s">
        <v>106</v>
      </c>
      <c r="B19" s="9" t="s">
        <v>31</v>
      </c>
      <c r="C19" s="10">
        <v>0</v>
      </c>
      <c r="D19" s="10">
        <f t="shared" si="3"/>
        <v>0</v>
      </c>
      <c r="E19" s="10">
        <v>7156</v>
      </c>
      <c r="F19" s="11">
        <v>6000</v>
      </c>
      <c r="G19" s="12">
        <f>F19</f>
        <v>6000</v>
      </c>
      <c r="H19" s="13">
        <f>G19*30</f>
        <v>180000</v>
      </c>
      <c r="I19" s="27" t="e">
        <f>(G19-C19)/C19</f>
        <v>#DIV/0!</v>
      </c>
      <c r="J19" s="28" t="s">
        <v>107</v>
      </c>
      <c r="K19" s="29">
        <v>0.0721383118025024</v>
      </c>
      <c r="L19" s="10">
        <f t="shared" si="7"/>
        <v>12984.8961244504</v>
      </c>
      <c r="M19" s="27">
        <v>0.0938296295342882</v>
      </c>
      <c r="N19" s="10">
        <f t="shared" si="8"/>
        <v>16889.3333161719</v>
      </c>
      <c r="O19" s="10">
        <v>69.73</v>
      </c>
      <c r="P19" s="10">
        <f t="shared" si="9"/>
        <v>2581.38534346766</v>
      </c>
      <c r="Q19" s="13">
        <f t="shared" si="25"/>
        <v>6300</v>
      </c>
      <c r="R19" s="13">
        <f t="shared" si="11"/>
        <v>189000</v>
      </c>
      <c r="S19" s="10">
        <f t="shared" si="12"/>
        <v>49442.4</v>
      </c>
      <c r="T19" s="13">
        <f t="shared" si="26"/>
        <v>6600</v>
      </c>
      <c r="U19" s="13">
        <f t="shared" si="14"/>
        <v>198000</v>
      </c>
      <c r="V19" s="10">
        <f>U19*J19</f>
        <v>51796.8</v>
      </c>
      <c r="W19" s="21">
        <v>1500</v>
      </c>
      <c r="X19" s="21" t="s">
        <v>108</v>
      </c>
      <c r="Y19" s="21" t="s">
        <v>42</v>
      </c>
      <c r="Z19" s="22" t="s">
        <v>35</v>
      </c>
      <c r="AA19" s="23" t="s">
        <v>58</v>
      </c>
      <c r="AB19" s="23" t="s">
        <v>65</v>
      </c>
      <c r="AC19" s="23"/>
    </row>
    <row r="20" spans="1:29">
      <c r="A20" s="24" t="s">
        <v>109</v>
      </c>
      <c r="B20" s="24" t="s">
        <v>31</v>
      </c>
      <c r="C20" s="25">
        <f t="shared" ref="C20:G20" si="30">SUM(C4:C19)</f>
        <v>72484</v>
      </c>
      <c r="D20" s="25">
        <f t="shared" si="30"/>
        <v>86980.8</v>
      </c>
      <c r="E20" s="25">
        <f t="shared" si="30"/>
        <v>96799</v>
      </c>
      <c r="F20" s="25">
        <f t="shared" si="30"/>
        <v>97200</v>
      </c>
      <c r="G20" s="26">
        <f t="shared" si="30"/>
        <v>96400</v>
      </c>
      <c r="H20" s="13">
        <f>G20*30</f>
        <v>2892000</v>
      </c>
      <c r="I20" s="27">
        <f>(G20-C20)/C20</f>
        <v>0.329948678329011</v>
      </c>
      <c r="J20" s="36">
        <v>0.309467536888881</v>
      </c>
      <c r="K20" s="37"/>
      <c r="L20" s="25">
        <f t="shared" ref="L20:U20" si="31">SUM(L4:L19)</f>
        <v>190306.443011144</v>
      </c>
      <c r="M20" s="27"/>
      <c r="N20" s="25">
        <f t="shared" si="31"/>
        <v>316306.082903786</v>
      </c>
      <c r="O20" s="10"/>
      <c r="P20" s="25">
        <f t="shared" si="31"/>
        <v>40480.9047403995</v>
      </c>
      <c r="Q20" s="25">
        <f t="shared" si="31"/>
        <v>100816</v>
      </c>
      <c r="R20" s="25">
        <f t="shared" si="31"/>
        <v>3024480</v>
      </c>
      <c r="S20" s="25">
        <f t="shared" si="31"/>
        <v>933907.908</v>
      </c>
      <c r="T20" s="25">
        <f t="shared" si="31"/>
        <v>105232</v>
      </c>
      <c r="U20" s="25">
        <f t="shared" si="31"/>
        <v>3156960</v>
      </c>
      <c r="V20" s="25">
        <f>U20*J20</f>
        <v>976976.635256722</v>
      </c>
      <c r="W20" s="21"/>
      <c r="X20" s="21"/>
      <c r="Y20" s="21"/>
      <c r="Z20" s="22"/>
      <c r="AA20" s="23"/>
      <c r="AB20" s="23"/>
      <c r="AC20" s="23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2017-08-17T03:42:58Z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